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0" yWindow="60" windowWidth="15480" windowHeight="9675" tabRatio="856" activeTab="1"/>
  </bookViews>
  <sheets>
    <sheet name="ИТОГО БНЗ доу" sheetId="21" r:id="rId1"/>
    <sheet name="ИТОГО БНЗ шк" sheetId="20" r:id="rId2"/>
    <sheet name="ИТОГО БНЗ допы" sheetId="24" r:id="rId3"/>
    <sheet name="получатели" sheetId="22" r:id="rId4"/>
    <sheet name="индивид обуч 16-17" sheetId="23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xlnm._FilterDatabase" localSheetId="4" hidden="1">'индивид обуч 16-17'!$A$3:$J$69</definedName>
    <definedName name="_xlnm._FilterDatabase" localSheetId="3" hidden="1">получатели!$A$33:$K$182</definedName>
    <definedName name="иные" localSheetId="2">#REF!</definedName>
    <definedName name="иные" localSheetId="0">#REF!</definedName>
    <definedName name="иные" localSheetId="1">#REF!</definedName>
    <definedName name="иные">#REF!</definedName>
    <definedName name="материальные_запасы_основные_средства" localSheetId="2">#REF!</definedName>
    <definedName name="материальные_запасы_основные_средства" localSheetId="0">#REF!</definedName>
    <definedName name="материальные_запасы_основные_средства" localSheetId="1">#REF!</definedName>
    <definedName name="материальные_запасы_основные_средства">#REF!</definedName>
    <definedName name="_xlnm.Print_Area" localSheetId="2">'ИТОГО БНЗ допы'!$A$1:$R$21</definedName>
    <definedName name="_xlnm.Print_Area" localSheetId="0">'ИТОГО БНЗ доу'!$A$1:$Y$43</definedName>
    <definedName name="_xlnm.Print_Area" localSheetId="1">'ИТОГО БНЗ шк'!$A$1:$X$101</definedName>
    <definedName name="оплата_труда" localSheetId="2">#REF!</definedName>
    <definedName name="оплата_труда" localSheetId="0">#REF!</definedName>
    <definedName name="оплата_труда" localSheetId="1">#REF!</definedName>
    <definedName name="оплата_труда">#REF!</definedName>
    <definedName name="Список" localSheetId="2">#REF!</definedName>
    <definedName name="Список" localSheetId="0">#REF!</definedName>
    <definedName name="Список" localSheetId="1">#REF!</definedName>
    <definedName name="Список">#REF!</definedName>
  </definedNames>
  <calcPr calcId="12451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57" i="20"/>
  <c r="N101"/>
  <c r="P16" i="24" l="1"/>
  <c r="P7" l="1"/>
  <c r="P90" i="20"/>
  <c r="P89"/>
  <c r="P88"/>
  <c r="P87"/>
  <c r="P86"/>
  <c r="P47"/>
  <c r="P34"/>
  <c r="P35"/>
  <c r="P28"/>
  <c r="P29"/>
  <c r="P30"/>
  <c r="P31"/>
  <c r="P32"/>
  <c r="P9"/>
  <c r="P8"/>
  <c r="P7"/>
  <c r="P6"/>
  <c r="P5"/>
  <c r="V100" l="1"/>
  <c r="N100"/>
  <c r="V99" l="1"/>
  <c r="N99"/>
  <c r="V98" l="1"/>
  <c r="N98"/>
  <c r="V97" l="1"/>
  <c r="N97"/>
  <c r="N96" l="1"/>
  <c r="N56" l="1"/>
  <c r="N86"/>
  <c r="N5"/>
  <c r="N11"/>
  <c r="N15"/>
  <c r="N19"/>
  <c r="N27"/>
  <c r="N34"/>
  <c r="N39"/>
  <c r="N45"/>
  <c r="N50"/>
  <c r="N52"/>
  <c r="M95"/>
  <c r="N95"/>
  <c r="E37" i="22" l="1"/>
  <c r="H76"/>
  <c r="Q21" i="21"/>
  <c r="Q20"/>
  <c r="Q19"/>
  <c r="Q18"/>
  <c r="Q17"/>
  <c r="Q11"/>
  <c r="Q9"/>
  <c r="Q7"/>
  <c r="Q6"/>
  <c r="Q5"/>
  <c r="T5" s="1"/>
  <c r="Q8"/>
  <c r="T8" s="1"/>
  <c r="T6"/>
  <c r="V6" s="1"/>
  <c r="T7"/>
  <c r="U7" s="1"/>
  <c r="T9"/>
  <c r="U9" s="1"/>
  <c r="V9" l="1"/>
  <c r="V7"/>
  <c r="U6"/>
  <c r="U5"/>
  <c r="V5"/>
  <c r="U8"/>
  <c r="V8"/>
  <c r="O21"/>
  <c r="N33"/>
  <c r="N30"/>
  <c r="N31"/>
  <c r="N32"/>
  <c r="M16"/>
  <c r="M10"/>
  <c r="M4"/>
  <c r="M22" s="1"/>
  <c r="M32" l="1"/>
  <c r="O20"/>
  <c r="M31" l="1"/>
  <c r="O19"/>
  <c r="O17"/>
  <c r="M30" l="1"/>
  <c r="O18"/>
  <c r="N6" l="1"/>
  <c r="N7"/>
  <c r="N8"/>
  <c r="M29"/>
  <c r="N17" l="1"/>
  <c r="P72" i="20" l="1"/>
  <c r="M33" i="21" l="1"/>
  <c r="N17" i="20" l="1"/>
  <c r="O17"/>
  <c r="N102" l="1"/>
  <c r="V102" l="1"/>
  <c r="U103" s="1"/>
  <c r="O29" i="21" l="1"/>
  <c r="N35" i="20" l="1"/>
  <c r="N16" l="1"/>
  <c r="O16"/>
  <c r="P16"/>
  <c r="N24"/>
  <c r="O24"/>
  <c r="P24"/>
  <c r="N32"/>
  <c r="O32"/>
  <c r="N8" l="1"/>
  <c r="O8"/>
  <c r="P48" l="1"/>
  <c r="P46"/>
  <c r="P45"/>
  <c r="P43"/>
  <c r="P42"/>
  <c r="P41"/>
  <c r="P39"/>
  <c r="P40"/>
  <c r="O5" l="1"/>
  <c r="T5"/>
  <c r="V5" l="1"/>
  <c r="U5"/>
  <c r="P11" l="1"/>
  <c r="P71" l="1"/>
  <c r="T86"/>
  <c r="N87"/>
  <c r="O87"/>
  <c r="U86" l="1"/>
  <c r="T29"/>
  <c r="T32"/>
  <c r="U32" s="1"/>
  <c r="N28"/>
  <c r="P27"/>
  <c r="T27" s="1"/>
  <c r="T31"/>
  <c r="T30"/>
  <c r="T28"/>
  <c r="P14"/>
  <c r="T14" s="1"/>
  <c r="P91"/>
  <c r="T89"/>
  <c r="P73"/>
  <c r="T72"/>
  <c r="P70"/>
  <c r="N70"/>
  <c r="P65"/>
  <c r="P56"/>
  <c r="T56" s="1"/>
  <c r="P58"/>
  <c r="P57"/>
  <c r="T57" s="1"/>
  <c r="P54"/>
  <c r="P53"/>
  <c r="N53"/>
  <c r="T11"/>
  <c r="N6"/>
  <c r="T34" l="1"/>
  <c r="V34" s="1"/>
  <c r="M4"/>
  <c r="U34" l="1"/>
  <c r="O74"/>
  <c r="O75"/>
  <c r="O76"/>
  <c r="P67"/>
  <c r="T67" s="1"/>
  <c r="O67"/>
  <c r="O72"/>
  <c r="N72"/>
  <c r="N67"/>
  <c r="V72" l="1"/>
  <c r="U72"/>
  <c r="V67"/>
  <c r="U67"/>
  <c r="O88" l="1"/>
  <c r="M38"/>
  <c r="N13"/>
  <c r="O13"/>
  <c r="P13"/>
  <c r="T13" s="1"/>
  <c r="N7"/>
  <c r="O7"/>
  <c r="M51" l="1"/>
  <c r="M55"/>
  <c r="N20" i="21" l="1"/>
  <c r="T21"/>
  <c r="T19"/>
  <c r="T18"/>
  <c r="T17"/>
  <c r="Q15"/>
  <c r="Q14"/>
  <c r="Q13"/>
  <c r="Q12"/>
  <c r="N15"/>
  <c r="N12"/>
  <c r="N11"/>
  <c r="O16"/>
  <c r="N19"/>
  <c r="N18"/>
  <c r="T20"/>
  <c r="V20" s="1"/>
  <c r="V19" l="1"/>
  <c r="V18"/>
  <c r="U20"/>
  <c r="U19"/>
  <c r="T15"/>
  <c r="Q29"/>
  <c r="U17"/>
  <c r="V17"/>
  <c r="U15" l="1"/>
  <c r="V15"/>
  <c r="M34"/>
  <c r="P34"/>
  <c r="S34"/>
  <c r="P25"/>
  <c r="M24" l="1"/>
  <c r="N10"/>
  <c r="R29"/>
  <c r="N5"/>
  <c r="N29" l="1"/>
  <c r="L29" s="1"/>
  <c r="M23"/>
  <c r="O33" l="1"/>
  <c r="Q24" l="1"/>
  <c r="P68" i="20"/>
  <c r="P66"/>
  <c r="P25"/>
  <c r="P23"/>
  <c r="P22"/>
  <c r="P21"/>
  <c r="P20"/>
  <c r="P19"/>
  <c r="P17"/>
  <c r="T17" s="1"/>
  <c r="T16"/>
  <c r="P15"/>
  <c r="T15" l="1"/>
  <c r="P99"/>
  <c r="T48"/>
  <c r="O48"/>
  <c r="N48"/>
  <c r="U48" l="1"/>
  <c r="V48"/>
  <c r="T58" l="1"/>
  <c r="O58"/>
  <c r="N58"/>
  <c r="U58" l="1"/>
  <c r="V58"/>
  <c r="M49" l="1"/>
  <c r="O50"/>
  <c r="O49"/>
  <c r="P50" l="1"/>
  <c r="T50" s="1"/>
  <c r="U50" l="1"/>
  <c r="V50"/>
  <c r="J102" l="1"/>
  <c r="K102" l="1"/>
  <c r="M107" s="1"/>
  <c r="O91"/>
  <c r="L91"/>
  <c r="N91" s="1"/>
  <c r="O90"/>
  <c r="N90"/>
  <c r="O89"/>
  <c r="N89"/>
  <c r="N88"/>
  <c r="M97" s="1"/>
  <c r="O86"/>
  <c r="O85"/>
  <c r="M85"/>
  <c r="O84"/>
  <c r="N84"/>
  <c r="O83"/>
  <c r="N83"/>
  <c r="O82"/>
  <c r="N82"/>
  <c r="O81"/>
  <c r="P84"/>
  <c r="O80"/>
  <c r="N80"/>
  <c r="O79"/>
  <c r="N79"/>
  <c r="P78"/>
  <c r="T78" s="1"/>
  <c r="O78"/>
  <c r="N78"/>
  <c r="O77"/>
  <c r="M77"/>
  <c r="L76"/>
  <c r="N76" s="1"/>
  <c r="L75"/>
  <c r="N75" s="1"/>
  <c r="L74"/>
  <c r="N74" s="1"/>
  <c r="O73"/>
  <c r="N73"/>
  <c r="O71"/>
  <c r="N71"/>
  <c r="O70"/>
  <c r="T71"/>
  <c r="X69"/>
  <c r="O69"/>
  <c r="M69"/>
  <c r="O68"/>
  <c r="N68"/>
  <c r="O66"/>
  <c r="N66"/>
  <c r="O65"/>
  <c r="X64"/>
  <c r="O64"/>
  <c r="M64"/>
  <c r="V63"/>
  <c r="U63"/>
  <c r="O62"/>
  <c r="L62"/>
  <c r="P62" s="1"/>
  <c r="T62" s="1"/>
  <c r="L61"/>
  <c r="P61" s="1"/>
  <c r="T61" s="1"/>
  <c r="L60"/>
  <c r="N60" s="1"/>
  <c r="O59"/>
  <c r="N57"/>
  <c r="V57" s="1"/>
  <c r="O56"/>
  <c r="O55"/>
  <c r="N54"/>
  <c r="O53"/>
  <c r="O52"/>
  <c r="O51"/>
  <c r="T47"/>
  <c r="O47"/>
  <c r="N47"/>
  <c r="O46"/>
  <c r="N46"/>
  <c r="T45"/>
  <c r="O45"/>
  <c r="T46"/>
  <c r="O44"/>
  <c r="M44"/>
  <c r="O43"/>
  <c r="N43"/>
  <c r="O42"/>
  <c r="N42"/>
  <c r="O41"/>
  <c r="N41"/>
  <c r="O40"/>
  <c r="O39"/>
  <c r="O38"/>
  <c r="O37"/>
  <c r="P37"/>
  <c r="T37" s="1"/>
  <c r="T36" s="1"/>
  <c r="V36" s="1"/>
  <c r="O36"/>
  <c r="M36"/>
  <c r="O35"/>
  <c r="T35"/>
  <c r="V35" s="1"/>
  <c r="O34"/>
  <c r="O33"/>
  <c r="M33"/>
  <c r="O31"/>
  <c r="N31"/>
  <c r="O30"/>
  <c r="N30"/>
  <c r="O29"/>
  <c r="N29"/>
  <c r="O28"/>
  <c r="O27"/>
  <c r="O26"/>
  <c r="M26"/>
  <c r="O25"/>
  <c r="N25"/>
  <c r="O23"/>
  <c r="N23"/>
  <c r="O22"/>
  <c r="N22"/>
  <c r="O21"/>
  <c r="N21"/>
  <c r="O20"/>
  <c r="O19"/>
  <c r="O18"/>
  <c r="M18"/>
  <c r="O15"/>
  <c r="O14"/>
  <c r="N14"/>
  <c r="O12"/>
  <c r="N12"/>
  <c r="O11"/>
  <c r="U11"/>
  <c r="O10"/>
  <c r="M10"/>
  <c r="O9"/>
  <c r="N9"/>
  <c r="O6"/>
  <c r="O4"/>
  <c r="L4"/>
  <c r="M100" l="1"/>
  <c r="M101"/>
  <c r="L101" s="1"/>
  <c r="U14"/>
  <c r="V14"/>
  <c r="M99"/>
  <c r="M98"/>
  <c r="P60"/>
  <c r="T60" s="1"/>
  <c r="U60" s="1"/>
  <c r="V27"/>
  <c r="N61"/>
  <c r="U61" s="1"/>
  <c r="N62"/>
  <c r="V62" s="1"/>
  <c r="V17"/>
  <c r="V13"/>
  <c r="T24"/>
  <c r="T23"/>
  <c r="U23" s="1"/>
  <c r="T19"/>
  <c r="T54"/>
  <c r="U54" s="1"/>
  <c r="T53"/>
  <c r="U57"/>
  <c r="T90"/>
  <c r="V90" s="1"/>
  <c r="N37"/>
  <c r="V37" s="1"/>
  <c r="T8"/>
  <c r="T9"/>
  <c r="T7"/>
  <c r="T6"/>
  <c r="T43"/>
  <c r="V43" s="1"/>
  <c r="T41"/>
  <c r="V41" s="1"/>
  <c r="T39"/>
  <c r="T42"/>
  <c r="T40"/>
  <c r="T68"/>
  <c r="T59"/>
  <c r="U59" s="1"/>
  <c r="T70"/>
  <c r="T73"/>
  <c r="V73" s="1"/>
  <c r="N40"/>
  <c r="V74"/>
  <c r="U74"/>
  <c r="U78"/>
  <c r="V78"/>
  <c r="V32"/>
  <c r="U46"/>
  <c r="V46"/>
  <c r="V75"/>
  <c r="U75"/>
  <c r="T84"/>
  <c r="T33"/>
  <c r="V33" s="1"/>
  <c r="T44"/>
  <c r="V44" s="1"/>
  <c r="U71"/>
  <c r="V71"/>
  <c r="V76"/>
  <c r="U76"/>
  <c r="V45"/>
  <c r="V47"/>
  <c r="U15"/>
  <c r="T21"/>
  <c r="U21" s="1"/>
  <c r="T25"/>
  <c r="U45"/>
  <c r="U47"/>
  <c r="V60"/>
  <c r="V61"/>
  <c r="U62"/>
  <c r="T66"/>
  <c r="V66" s="1"/>
  <c r="P12"/>
  <c r="T12" s="1"/>
  <c r="T10" s="1"/>
  <c r="N20"/>
  <c r="T20"/>
  <c r="T22"/>
  <c r="V22" s="1"/>
  <c r="P52"/>
  <c r="T52" s="1"/>
  <c r="N65"/>
  <c r="T65"/>
  <c r="P79"/>
  <c r="T79" s="1"/>
  <c r="U79" s="1"/>
  <c r="P80"/>
  <c r="T80" s="1"/>
  <c r="V80" s="1"/>
  <c r="N81"/>
  <c r="P81"/>
  <c r="P82"/>
  <c r="T82" s="1"/>
  <c r="U82" s="1"/>
  <c r="P83"/>
  <c r="T83" s="1"/>
  <c r="U83" s="1"/>
  <c r="T81" l="1"/>
  <c r="P98"/>
  <c r="N92"/>
  <c r="L95"/>
  <c r="M96"/>
  <c r="V40"/>
  <c r="U42"/>
  <c r="V42"/>
  <c r="V19"/>
  <c r="T95"/>
  <c r="U95" s="1"/>
  <c r="V39"/>
  <c r="T98"/>
  <c r="U25"/>
  <c r="T101"/>
  <c r="U101" s="1"/>
  <c r="W101" s="1"/>
  <c r="V24"/>
  <c r="V9"/>
  <c r="T99"/>
  <c r="U99" s="1"/>
  <c r="V7"/>
  <c r="U6"/>
  <c r="U73"/>
  <c r="U53"/>
  <c r="V59"/>
  <c r="U70"/>
  <c r="V56"/>
  <c r="L97"/>
  <c r="U56"/>
  <c r="V11"/>
  <c r="V31"/>
  <c r="U30"/>
  <c r="V29"/>
  <c r="U27"/>
  <c r="U24"/>
  <c r="V53"/>
  <c r="U37"/>
  <c r="U39"/>
  <c r="U19"/>
  <c r="T55"/>
  <c r="V55" s="1"/>
  <c r="U43"/>
  <c r="U8"/>
  <c r="V8"/>
  <c r="V16"/>
  <c r="U16"/>
  <c r="U68"/>
  <c r="V68"/>
  <c r="L100"/>
  <c r="L99"/>
  <c r="L98"/>
  <c r="T51"/>
  <c r="V86"/>
  <c r="T64"/>
  <c r="W64" s="1"/>
  <c r="T26"/>
  <c r="V25"/>
  <c r="T69"/>
  <c r="V69" s="1"/>
  <c r="V70"/>
  <c r="U66"/>
  <c r="T18"/>
  <c r="U7"/>
  <c r="U40"/>
  <c r="T38"/>
  <c r="V38" s="1"/>
  <c r="U41"/>
  <c r="U31"/>
  <c r="U29"/>
  <c r="V30"/>
  <c r="V21"/>
  <c r="V10"/>
  <c r="V15"/>
  <c r="V82"/>
  <c r="T91"/>
  <c r="T100" s="1"/>
  <c r="P100"/>
  <c r="T87"/>
  <c r="U87" s="1"/>
  <c r="P96"/>
  <c r="P92"/>
  <c r="P97"/>
  <c r="T88"/>
  <c r="U88" s="1"/>
  <c r="U81"/>
  <c r="V81"/>
  <c r="U65"/>
  <c r="V65"/>
  <c r="U28"/>
  <c r="V28"/>
  <c r="V83"/>
  <c r="P101"/>
  <c r="V54"/>
  <c r="V23"/>
  <c r="U22"/>
  <c r="U17"/>
  <c r="T77"/>
  <c r="V12"/>
  <c r="U12"/>
  <c r="V79"/>
  <c r="V52"/>
  <c r="V84"/>
  <c r="U84"/>
  <c r="U80"/>
  <c r="U13"/>
  <c r="U9"/>
  <c r="V6"/>
  <c r="U35"/>
  <c r="U20"/>
  <c r="V20"/>
  <c r="P95"/>
  <c r="U90"/>
  <c r="U52"/>
  <c r="Q92" l="1"/>
  <c r="T97"/>
  <c r="U97" s="1"/>
  <c r="W97" s="1"/>
  <c r="T96"/>
  <c r="X96" s="1"/>
  <c r="T4"/>
  <c r="X95"/>
  <c r="W69"/>
  <c r="V64"/>
  <c r="W99"/>
  <c r="V51"/>
  <c r="T49"/>
  <c r="V49" s="1"/>
  <c r="V87"/>
  <c r="X101"/>
  <c r="X99"/>
  <c r="L96"/>
  <c r="L102" s="1"/>
  <c r="M102"/>
  <c r="M105" s="1"/>
  <c r="V26"/>
  <c r="V18"/>
  <c r="V88"/>
  <c r="U89"/>
  <c r="V89"/>
  <c r="U77"/>
  <c r="V77"/>
  <c r="V91"/>
  <c r="U91"/>
  <c r="T85"/>
  <c r="N21" i="21"/>
  <c r="N9"/>
  <c r="N22" s="1"/>
  <c r="V21" l="1"/>
  <c r="N24"/>
  <c r="L33"/>
  <c r="U96" i="20"/>
  <c r="W96" s="1"/>
  <c r="U100"/>
  <c r="W100" s="1"/>
  <c r="X100"/>
  <c r="U98"/>
  <c r="W98" s="1"/>
  <c r="X98"/>
  <c r="X97"/>
  <c r="T92"/>
  <c r="V93" s="1"/>
  <c r="V85"/>
  <c r="T102"/>
  <c r="T104" s="1"/>
  <c r="O30" i="21"/>
  <c r="U102" i="20" l="1"/>
  <c r="U105" s="1"/>
  <c r="W95"/>
  <c r="W102" s="1"/>
  <c r="X102"/>
  <c r="O31" i="21" l="1"/>
  <c r="T16" l="1"/>
  <c r="U21"/>
  <c r="Q33" l="1"/>
  <c r="Q22" l="1"/>
  <c r="T33" l="1"/>
  <c r="U33" l="1"/>
  <c r="V33"/>
  <c r="E33" i="23" l="1"/>
  <c r="J68" l="1"/>
  <c r="I68"/>
  <c r="H68"/>
  <c r="G68"/>
  <c r="F68"/>
  <c r="E68"/>
  <c r="J65"/>
  <c r="I65"/>
  <c r="H65"/>
  <c r="G65"/>
  <c r="F65"/>
  <c r="E65"/>
  <c r="J59"/>
  <c r="I59"/>
  <c r="H59"/>
  <c r="G59"/>
  <c r="F59"/>
  <c r="E59"/>
  <c r="J33"/>
  <c r="J69" s="1"/>
  <c r="I33"/>
  <c r="I69" s="1"/>
  <c r="H33"/>
  <c r="H69" s="1"/>
  <c r="G33"/>
  <c r="G69" s="1"/>
  <c r="F33"/>
  <c r="F69" s="1"/>
  <c r="E69"/>
  <c r="H124" i="22" l="1"/>
  <c r="G213" l="1"/>
  <c r="E213"/>
  <c r="H213" s="1"/>
  <c r="I213" s="1"/>
  <c r="G212"/>
  <c r="E212"/>
  <c r="H212" s="1"/>
  <c r="I212" s="1"/>
  <c r="G211"/>
  <c r="E211"/>
  <c r="H211" s="1"/>
  <c r="I211" s="1"/>
  <c r="G210"/>
  <c r="E210"/>
  <c r="H210" s="1"/>
  <c r="H208"/>
  <c r="F208"/>
  <c r="D208"/>
  <c r="C208"/>
  <c r="H207"/>
  <c r="F207"/>
  <c r="D207"/>
  <c r="C207"/>
  <c r="F205"/>
  <c r="F206" s="1"/>
  <c r="D205"/>
  <c r="D206" s="1"/>
  <c r="C205"/>
  <c r="C206" s="1"/>
  <c r="F204"/>
  <c r="D204"/>
  <c r="C204"/>
  <c r="D203"/>
  <c r="C203"/>
  <c r="I202"/>
  <c r="G202"/>
  <c r="E202"/>
  <c r="I201"/>
  <c r="G201"/>
  <c r="E201"/>
  <c r="I200"/>
  <c r="G200"/>
  <c r="E200"/>
  <c r="I199"/>
  <c r="G199"/>
  <c r="E199"/>
  <c r="G198"/>
  <c r="E198"/>
  <c r="G197"/>
  <c r="E197"/>
  <c r="G196"/>
  <c r="E196"/>
  <c r="G195"/>
  <c r="E195"/>
  <c r="G194"/>
  <c r="E194"/>
  <c r="K182"/>
  <c r="M182" s="1"/>
  <c r="G182"/>
  <c r="E182"/>
  <c r="K181"/>
  <c r="J181"/>
  <c r="G181"/>
  <c r="E181"/>
  <c r="K180"/>
  <c r="M180" s="1"/>
  <c r="G180"/>
  <c r="E180"/>
  <c r="K179"/>
  <c r="M179" s="1"/>
  <c r="G179"/>
  <c r="E179"/>
  <c r="K178"/>
  <c r="J178"/>
  <c r="G178"/>
  <c r="E178"/>
  <c r="K177"/>
  <c r="M177" s="1"/>
  <c r="G177"/>
  <c r="E177"/>
  <c r="T174"/>
  <c r="G174"/>
  <c r="E174"/>
  <c r="F173"/>
  <c r="G173" s="1"/>
  <c r="E173"/>
  <c r="G172"/>
  <c r="E172"/>
  <c r="R171"/>
  <c r="S174" s="1"/>
  <c r="G171"/>
  <c r="E171"/>
  <c r="F170"/>
  <c r="G170" s="1"/>
  <c r="E170"/>
  <c r="G169"/>
  <c r="E169"/>
  <c r="F168"/>
  <c r="G168" s="1"/>
  <c r="E168"/>
  <c r="N167"/>
  <c r="K167"/>
  <c r="I166"/>
  <c r="N165"/>
  <c r="K165" s="1"/>
  <c r="J165"/>
  <c r="H165"/>
  <c r="I165" s="1"/>
  <c r="G164"/>
  <c r="E164"/>
  <c r="G163"/>
  <c r="E163"/>
  <c r="G162"/>
  <c r="E162"/>
  <c r="G161"/>
  <c r="E161"/>
  <c r="G160"/>
  <c r="E160"/>
  <c r="I159"/>
  <c r="G159"/>
  <c r="E159"/>
  <c r="G158"/>
  <c r="E158"/>
  <c r="G157"/>
  <c r="E157"/>
  <c r="G156"/>
  <c r="E156"/>
  <c r="G155"/>
  <c r="E155"/>
  <c r="G154"/>
  <c r="E154"/>
  <c r="G153"/>
  <c r="E153"/>
  <c r="G152"/>
  <c r="E152"/>
  <c r="G151"/>
  <c r="E151"/>
  <c r="G150"/>
  <c r="E150"/>
  <c r="F149"/>
  <c r="G149" s="1"/>
  <c r="E149"/>
  <c r="G148"/>
  <c r="E148"/>
  <c r="G147"/>
  <c r="E147"/>
  <c r="G146"/>
  <c r="E146"/>
  <c r="G145"/>
  <c r="E145"/>
  <c r="G144"/>
  <c r="E144"/>
  <c r="G143"/>
  <c r="E143"/>
  <c r="G142"/>
  <c r="E142"/>
  <c r="G141"/>
  <c r="E141"/>
  <c r="G140"/>
  <c r="E140"/>
  <c r="G139"/>
  <c r="E139"/>
  <c r="F138"/>
  <c r="G138" s="1"/>
  <c r="E138"/>
  <c r="G137"/>
  <c r="E137"/>
  <c r="G136"/>
  <c r="E136"/>
  <c r="G135"/>
  <c r="E135"/>
  <c r="G134"/>
  <c r="E134"/>
  <c r="G133"/>
  <c r="E133"/>
  <c r="G132"/>
  <c r="E132"/>
  <c r="G131"/>
  <c r="E131"/>
  <c r="H130"/>
  <c r="I130" s="1"/>
  <c r="J129"/>
  <c r="J128"/>
  <c r="J127"/>
  <c r="J126"/>
  <c r="J125"/>
  <c r="J124"/>
  <c r="I124"/>
  <c r="J122"/>
  <c r="G122"/>
  <c r="E122"/>
  <c r="J121"/>
  <c r="G121"/>
  <c r="E121"/>
  <c r="J120"/>
  <c r="G120"/>
  <c r="E120"/>
  <c r="J119"/>
  <c r="G119"/>
  <c r="E119"/>
  <c r="J118"/>
  <c r="G118"/>
  <c r="E118"/>
  <c r="J117"/>
  <c r="G117"/>
  <c r="E117"/>
  <c r="J116"/>
  <c r="G116"/>
  <c r="E116"/>
  <c r="G115"/>
  <c r="E115"/>
  <c r="G114"/>
  <c r="E114"/>
  <c r="G113"/>
  <c r="E113"/>
  <c r="G112"/>
  <c r="E112"/>
  <c r="G111"/>
  <c r="E111"/>
  <c r="G110"/>
  <c r="E110"/>
  <c r="G109"/>
  <c r="E109"/>
  <c r="G108"/>
  <c r="E108"/>
  <c r="G107"/>
  <c r="E107"/>
  <c r="G106"/>
  <c r="E106"/>
  <c r="G105"/>
  <c r="E105"/>
  <c r="G104"/>
  <c r="E104"/>
  <c r="G103"/>
  <c r="E103"/>
  <c r="G102"/>
  <c r="E102"/>
  <c r="G101"/>
  <c r="E101"/>
  <c r="G100"/>
  <c r="E100"/>
  <c r="G99"/>
  <c r="E99"/>
  <c r="G98"/>
  <c r="E98"/>
  <c r="G97"/>
  <c r="E97"/>
  <c r="G96"/>
  <c r="E96"/>
  <c r="G95"/>
  <c r="E95"/>
  <c r="G94"/>
  <c r="E94"/>
  <c r="G93"/>
  <c r="E93"/>
  <c r="G92"/>
  <c r="E92"/>
  <c r="G91"/>
  <c r="E91"/>
  <c r="G90"/>
  <c r="E90"/>
  <c r="G89"/>
  <c r="E89"/>
  <c r="G88"/>
  <c r="E88"/>
  <c r="G87"/>
  <c r="E87"/>
  <c r="G86"/>
  <c r="E86"/>
  <c r="G85"/>
  <c r="E85"/>
  <c r="G84"/>
  <c r="E84"/>
  <c r="G83"/>
  <c r="E83"/>
  <c r="G82"/>
  <c r="E82"/>
  <c r="G81"/>
  <c r="E81"/>
  <c r="G80"/>
  <c r="E80"/>
  <c r="G79"/>
  <c r="E79"/>
  <c r="G78"/>
  <c r="E78"/>
  <c r="G77"/>
  <c r="E77"/>
  <c r="G76"/>
  <c r="E76"/>
  <c r="G75"/>
  <c r="E75"/>
  <c r="G74"/>
  <c r="E74"/>
  <c r="G73"/>
  <c r="E73"/>
  <c r="G72"/>
  <c r="E72"/>
  <c r="G71"/>
  <c r="E71"/>
  <c r="G70"/>
  <c r="E70"/>
  <c r="G69"/>
  <c r="E69"/>
  <c r="G68"/>
  <c r="E68"/>
  <c r="G67"/>
  <c r="E67"/>
  <c r="G66"/>
  <c r="E66"/>
  <c r="G65"/>
  <c r="E65"/>
  <c r="G64"/>
  <c r="E64"/>
  <c r="G63"/>
  <c r="E63"/>
  <c r="G62"/>
  <c r="E62"/>
  <c r="G61"/>
  <c r="E61"/>
  <c r="G60"/>
  <c r="E60"/>
  <c r="G59"/>
  <c r="E59"/>
  <c r="G58"/>
  <c r="E58"/>
  <c r="G57"/>
  <c r="E57"/>
  <c r="G56"/>
  <c r="E56"/>
  <c r="G55"/>
  <c r="E55"/>
  <c r="G54"/>
  <c r="E54"/>
  <c r="G53"/>
  <c r="E53"/>
  <c r="G52"/>
  <c r="E52"/>
  <c r="G51"/>
  <c r="E51"/>
  <c r="G50"/>
  <c r="E50"/>
  <c r="G49"/>
  <c r="E49"/>
  <c r="G48"/>
  <c r="E48"/>
  <c r="G47"/>
  <c r="E47"/>
  <c r="G46"/>
  <c r="E46"/>
  <c r="G45"/>
  <c r="E45"/>
  <c r="G44"/>
  <c r="E44"/>
  <c r="G43"/>
  <c r="E43"/>
  <c r="G42"/>
  <c r="E42"/>
  <c r="G41"/>
  <c r="E41"/>
  <c r="G40"/>
  <c r="E40"/>
  <c r="G39"/>
  <c r="E39"/>
  <c r="G38"/>
  <c r="E38"/>
  <c r="G37"/>
  <c r="G36"/>
  <c r="E36"/>
  <c r="G35"/>
  <c r="E35"/>
  <c r="G34"/>
  <c r="E34"/>
  <c r="H29"/>
  <c r="F29"/>
  <c r="D29"/>
  <c r="C29"/>
  <c r="H28"/>
  <c r="F28"/>
  <c r="D28"/>
  <c r="C28"/>
  <c r="F26"/>
  <c r="F27" s="1"/>
  <c r="D26"/>
  <c r="D27" s="1"/>
  <c r="C26"/>
  <c r="C27" s="1"/>
  <c r="C25"/>
  <c r="C24"/>
  <c r="I23"/>
  <c r="G23"/>
  <c r="E23"/>
  <c r="I22"/>
  <c r="G22"/>
  <c r="E22"/>
  <c r="I21"/>
  <c r="I29" s="1"/>
  <c r="G21"/>
  <c r="E21"/>
  <c r="I20"/>
  <c r="I28" s="1"/>
  <c r="G20"/>
  <c r="E20"/>
  <c r="G19"/>
  <c r="E19"/>
  <c r="G18"/>
  <c r="E18"/>
  <c r="G17"/>
  <c r="E17"/>
  <c r="G16"/>
  <c r="E16"/>
  <c r="G15"/>
  <c r="E15"/>
  <c r="G14"/>
  <c r="E14"/>
  <c r="F13"/>
  <c r="G13" s="1"/>
  <c r="D13"/>
  <c r="E13" s="1"/>
  <c r="G12"/>
  <c r="E12"/>
  <c r="G11"/>
  <c r="E11"/>
  <c r="G10"/>
  <c r="E10"/>
  <c r="G9"/>
  <c r="E9"/>
  <c r="G8"/>
  <c r="D8"/>
  <c r="E8" s="1"/>
  <c r="H8" s="1"/>
  <c r="I8" s="1"/>
  <c r="G7"/>
  <c r="E7"/>
  <c r="F6"/>
  <c r="G6" s="1"/>
  <c r="E6"/>
  <c r="F5"/>
  <c r="F25" s="1"/>
  <c r="D5"/>
  <c r="G4"/>
  <c r="E4"/>
  <c r="H14" l="1"/>
  <c r="I14" s="1"/>
  <c r="H15"/>
  <c r="I15" s="1"/>
  <c r="H16"/>
  <c r="I16" s="1"/>
  <c r="H17"/>
  <c r="I17" s="1"/>
  <c r="H18"/>
  <c r="I18" s="1"/>
  <c r="H19"/>
  <c r="I19" s="1"/>
  <c r="H6"/>
  <c r="I6" s="1"/>
  <c r="H9"/>
  <c r="I9" s="1"/>
  <c r="H10"/>
  <c r="I10" s="1"/>
  <c r="H11"/>
  <c r="I11" s="1"/>
  <c r="H12"/>
  <c r="I12" s="1"/>
  <c r="H13"/>
  <c r="I13" s="1"/>
  <c r="H131"/>
  <c r="I131" s="1"/>
  <c r="H135"/>
  <c r="I135" s="1"/>
  <c r="H137"/>
  <c r="I137" s="1"/>
  <c r="H139"/>
  <c r="I139" s="1"/>
  <c r="H194"/>
  <c r="I194" s="1"/>
  <c r="H195"/>
  <c r="I195" s="1"/>
  <c r="H196"/>
  <c r="I196" s="1"/>
  <c r="H197"/>
  <c r="I197" s="1"/>
  <c r="H198"/>
  <c r="I198" s="1"/>
  <c r="H141"/>
  <c r="I141" s="1"/>
  <c r="H143"/>
  <c r="I143" s="1"/>
  <c r="H145"/>
  <c r="I145" s="1"/>
  <c r="H147"/>
  <c r="H151"/>
  <c r="I151" s="1"/>
  <c r="D24"/>
  <c r="G5"/>
  <c r="G24" s="1"/>
  <c r="H7"/>
  <c r="M178"/>
  <c r="M181"/>
  <c r="H153"/>
  <c r="I153" s="1"/>
  <c r="H171"/>
  <c r="H179" s="1"/>
  <c r="H174"/>
  <c r="H182" s="1"/>
  <c r="H155"/>
  <c r="I155" s="1"/>
  <c r="H138"/>
  <c r="I138" s="1"/>
  <c r="H160"/>
  <c r="I160" s="1"/>
  <c r="H162"/>
  <c r="I162" s="1"/>
  <c r="H164"/>
  <c r="I164" s="1"/>
  <c r="H168"/>
  <c r="I207"/>
  <c r="H118"/>
  <c r="I118" s="1"/>
  <c r="H119"/>
  <c r="I119" s="1"/>
  <c r="H34"/>
  <c r="I34" s="1"/>
  <c r="H36"/>
  <c r="I36" s="1"/>
  <c r="H38"/>
  <c r="I38" s="1"/>
  <c r="H42"/>
  <c r="I42" s="1"/>
  <c r="H44"/>
  <c r="I44" s="1"/>
  <c r="H46"/>
  <c r="I46" s="1"/>
  <c r="H48"/>
  <c r="I48" s="1"/>
  <c r="H50"/>
  <c r="I50" s="1"/>
  <c r="H52"/>
  <c r="I52" s="1"/>
  <c r="H54"/>
  <c r="I54" s="1"/>
  <c r="H56"/>
  <c r="I56" s="1"/>
  <c r="H58"/>
  <c r="I58" s="1"/>
  <c r="H60"/>
  <c r="I60" s="1"/>
  <c r="H62"/>
  <c r="I62" s="1"/>
  <c r="H64"/>
  <c r="I64" s="1"/>
  <c r="H66"/>
  <c r="I66" s="1"/>
  <c r="H68"/>
  <c r="I68" s="1"/>
  <c r="H70"/>
  <c r="I70" s="1"/>
  <c r="H72"/>
  <c r="I72" s="1"/>
  <c r="H74"/>
  <c r="I74" s="1"/>
  <c r="I76"/>
  <c r="H78"/>
  <c r="I78" s="1"/>
  <c r="H80"/>
  <c r="I80" s="1"/>
  <c r="H82"/>
  <c r="I82" s="1"/>
  <c r="H84"/>
  <c r="I84" s="1"/>
  <c r="H86"/>
  <c r="I86" s="1"/>
  <c r="H88"/>
  <c r="I88" s="1"/>
  <c r="H90"/>
  <c r="I90" s="1"/>
  <c r="H92"/>
  <c r="I92" s="1"/>
  <c r="H94"/>
  <c r="I94" s="1"/>
  <c r="H96"/>
  <c r="I96" s="1"/>
  <c r="H98"/>
  <c r="I98" s="1"/>
  <c r="H100"/>
  <c r="I100" s="1"/>
  <c r="H102"/>
  <c r="I102" s="1"/>
  <c r="H104"/>
  <c r="I104" s="1"/>
  <c r="H106"/>
  <c r="I106" s="1"/>
  <c r="H108"/>
  <c r="I108" s="1"/>
  <c r="H110"/>
  <c r="I110" s="1"/>
  <c r="H112"/>
  <c r="I112" s="1"/>
  <c r="H114"/>
  <c r="I114" s="1"/>
  <c r="H116"/>
  <c r="I116" s="1"/>
  <c r="H157"/>
  <c r="I157" s="1"/>
  <c r="H122"/>
  <c r="I122" s="1"/>
  <c r="H133"/>
  <c r="I133" s="1"/>
  <c r="H136"/>
  <c r="I136" s="1"/>
  <c r="H132"/>
  <c r="I132" s="1"/>
  <c r="H134"/>
  <c r="I134" s="1"/>
  <c r="E203"/>
  <c r="G203"/>
  <c r="H170"/>
  <c r="H173"/>
  <c r="H117"/>
  <c r="I117" s="1"/>
  <c r="H120"/>
  <c r="I120" s="1"/>
  <c r="H140"/>
  <c r="I140" s="1"/>
  <c r="H142"/>
  <c r="I142" s="1"/>
  <c r="H144"/>
  <c r="I144" s="1"/>
  <c r="H146"/>
  <c r="H148"/>
  <c r="H150"/>
  <c r="H152"/>
  <c r="I152" s="1"/>
  <c r="H154"/>
  <c r="I154" s="1"/>
  <c r="H156"/>
  <c r="I156" s="1"/>
  <c r="H158"/>
  <c r="I158" s="1"/>
  <c r="H35"/>
  <c r="I35" s="1"/>
  <c r="H37"/>
  <c r="I37" s="1"/>
  <c r="H39"/>
  <c r="I39" s="1"/>
  <c r="H41"/>
  <c r="I41" s="1"/>
  <c r="H43"/>
  <c r="I43" s="1"/>
  <c r="H45"/>
  <c r="I45" s="1"/>
  <c r="H47"/>
  <c r="I47" s="1"/>
  <c r="H49"/>
  <c r="I49" s="1"/>
  <c r="H51"/>
  <c r="I51" s="1"/>
  <c r="H53"/>
  <c r="I53" s="1"/>
  <c r="H55"/>
  <c r="I55" s="1"/>
  <c r="H57"/>
  <c r="I57" s="1"/>
  <c r="H59"/>
  <c r="I59" s="1"/>
  <c r="H61"/>
  <c r="I61" s="1"/>
  <c r="H63"/>
  <c r="I63" s="1"/>
  <c r="H65"/>
  <c r="I65" s="1"/>
  <c r="H67"/>
  <c r="I67" s="1"/>
  <c r="H69"/>
  <c r="I69" s="1"/>
  <c r="H71"/>
  <c r="I71" s="1"/>
  <c r="H73"/>
  <c r="I73" s="1"/>
  <c r="H75"/>
  <c r="I75" s="1"/>
  <c r="H77"/>
  <c r="I77" s="1"/>
  <c r="H79"/>
  <c r="I79" s="1"/>
  <c r="H81"/>
  <c r="I81" s="1"/>
  <c r="H83"/>
  <c r="I83" s="1"/>
  <c r="H85"/>
  <c r="I85" s="1"/>
  <c r="H87"/>
  <c r="I87" s="1"/>
  <c r="H89"/>
  <c r="I89" s="1"/>
  <c r="H91"/>
  <c r="I91" s="1"/>
  <c r="H93"/>
  <c r="I93" s="1"/>
  <c r="H95"/>
  <c r="I95" s="1"/>
  <c r="H97"/>
  <c r="I97" s="1"/>
  <c r="H99"/>
  <c r="I99" s="1"/>
  <c r="H101"/>
  <c r="I101" s="1"/>
  <c r="H103"/>
  <c r="I103" s="1"/>
  <c r="H105"/>
  <c r="I105" s="1"/>
  <c r="H107"/>
  <c r="I107" s="1"/>
  <c r="H109"/>
  <c r="I109" s="1"/>
  <c r="H111"/>
  <c r="I111" s="1"/>
  <c r="H113"/>
  <c r="I113" s="1"/>
  <c r="H115"/>
  <c r="I115" s="1"/>
  <c r="H121"/>
  <c r="I121" s="1"/>
  <c r="H161"/>
  <c r="I161" s="1"/>
  <c r="H163"/>
  <c r="I163" s="1"/>
  <c r="H169"/>
  <c r="H177" s="1"/>
  <c r="H172"/>
  <c r="H180" s="1"/>
  <c r="I208"/>
  <c r="H126"/>
  <c r="I126" s="1"/>
  <c r="I147"/>
  <c r="H149"/>
  <c r="H26"/>
  <c r="H27" s="1"/>
  <c r="I7"/>
  <c r="I26" s="1"/>
  <c r="I27" s="1"/>
  <c r="H125"/>
  <c r="I125" s="1"/>
  <c r="I146"/>
  <c r="H127"/>
  <c r="I127" s="1"/>
  <c r="I148"/>
  <c r="I150"/>
  <c r="H129"/>
  <c r="I129" s="1"/>
  <c r="H205"/>
  <c r="H206" s="1"/>
  <c r="I210"/>
  <c r="I205" s="1"/>
  <c r="I206" s="1"/>
  <c r="H4"/>
  <c r="D25"/>
  <c r="E5"/>
  <c r="H5" s="1"/>
  <c r="I5" s="1"/>
  <c r="F24"/>
  <c r="H40"/>
  <c r="H178"/>
  <c r="H181"/>
  <c r="F203"/>
  <c r="H204" l="1"/>
  <c r="H209" s="1"/>
  <c r="I40"/>
  <c r="I204" s="1"/>
  <c r="H24"/>
  <c r="I24" s="1"/>
  <c r="I4"/>
  <c r="I25" s="1"/>
  <c r="H25"/>
  <c r="H30" s="1"/>
  <c r="I149"/>
  <c r="H128"/>
  <c r="I128" s="1"/>
  <c r="E24"/>
  <c r="H203" l="1"/>
  <c r="I203" s="1"/>
  <c r="O32" i="21" l="1"/>
  <c r="O34" s="1"/>
  <c r="R35" l="1"/>
  <c r="R32"/>
  <c r="R31"/>
  <c r="R30"/>
  <c r="N13"/>
  <c r="L4"/>
  <c r="R34" l="1"/>
  <c r="L31"/>
  <c r="T12"/>
  <c r="T13"/>
  <c r="U18"/>
  <c r="L30"/>
  <c r="N14"/>
  <c r="N23" s="1"/>
  <c r="V12" l="1"/>
  <c r="T30"/>
  <c r="L32"/>
  <c r="L34" s="1"/>
  <c r="T14"/>
  <c r="Q32"/>
  <c r="T11"/>
  <c r="T29" s="1"/>
  <c r="Q23"/>
  <c r="Q31"/>
  <c r="T4"/>
  <c r="V13"/>
  <c r="Q30"/>
  <c r="Q34" l="1"/>
  <c r="T32"/>
  <c r="V32" s="1"/>
  <c r="W32" s="1"/>
  <c r="V14"/>
  <c r="U14"/>
  <c r="U11"/>
  <c r="U29"/>
  <c r="V11"/>
  <c r="N34"/>
  <c r="N37" s="1"/>
  <c r="V30"/>
  <c r="T10"/>
  <c r="U30"/>
  <c r="N25"/>
  <c r="Q25"/>
  <c r="U12"/>
  <c r="T31"/>
  <c r="V31" s="1"/>
  <c r="W31" s="1"/>
  <c r="U13"/>
  <c r="U32" l="1"/>
  <c r="T34"/>
  <c r="T37" s="1"/>
  <c r="V29"/>
  <c r="V34" s="1"/>
  <c r="W30"/>
  <c r="U31"/>
  <c r="U34" l="1"/>
  <c r="W29"/>
  <c r="W34" s="1"/>
  <c r="T2" l="1"/>
</calcChain>
</file>

<file path=xl/comments1.xml><?xml version="1.0" encoding="utf-8"?>
<comments xmlns="http://schemas.openxmlformats.org/spreadsheetml/2006/main">
  <authors>
    <author>Автор</author>
  </authors>
  <commentList>
    <comment ref="F3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комплектовании на 01.09.2016  72  чел.</t>
        </r>
      </text>
    </comment>
    <comment ref="F9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проекте МЗ  на 2017 исключено</t>
        </r>
      </text>
    </comment>
    <comment ref="F9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проекте мз на 2017 исключено</t>
        </r>
      </text>
    </comment>
    <comment ref="F9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проекте мз на 2017 исключен</t>
        </r>
      </text>
    </comment>
    <comment ref="F10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проекте мз на 2017 исключено</t>
        </r>
      </text>
    </comment>
    <comment ref="D11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01.01.2016</t>
        </r>
      </text>
    </comment>
    <comment ref="F11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01.09.2016</t>
        </r>
      </text>
    </comment>
    <comment ref="D11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01.01.2016</t>
        </r>
      </text>
    </comment>
    <comment ref="F11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01.09.2016</t>
        </r>
      </text>
    </comment>
    <comment ref="D11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 01.01.2016</t>
        </r>
      </text>
    </comment>
    <comment ref="F11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01.09.2016</t>
        </r>
      </text>
    </comment>
    <comment ref="D11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01.01.2016</t>
        </r>
      </text>
    </comment>
    <comment ref="F11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01.09.2016</t>
        </r>
      </text>
    </comment>
    <comment ref="D12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01.01.2016</t>
        </r>
      </text>
    </comment>
    <comment ref="F12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01.09.2016</t>
        </r>
      </text>
    </comment>
    <comment ref="D1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01.01.2016</t>
        </r>
      </text>
    </comment>
    <comment ref="F1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01.09.2016</t>
        </r>
      </text>
    </comment>
    <comment ref="D12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01.01.2016</t>
        </r>
      </text>
    </comment>
    <comment ref="F12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01.09.2016</t>
        </r>
      </text>
    </comment>
    <comment ref="D14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01.01.2016</t>
        </r>
      </text>
    </comment>
    <comment ref="F14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01.09.2016</t>
        </r>
      </text>
    </comment>
    <comment ref="D14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01.01.2016</t>
        </r>
      </text>
    </comment>
    <comment ref="F14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01.09.2016</t>
        </r>
      </text>
    </comment>
    <comment ref="D14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01.01.2016</t>
        </r>
      </text>
    </comment>
    <comment ref="F14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01.09.2016</t>
        </r>
      </text>
    </comment>
    <comment ref="D14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01.01.2016</t>
        </r>
      </text>
    </comment>
    <comment ref="F14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01.09.2016</t>
        </r>
      </text>
    </comment>
    <comment ref="D14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01.01.2016</t>
        </r>
      </text>
    </comment>
    <comment ref="F14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01.09.2016</t>
        </r>
      </text>
    </comment>
    <comment ref="D15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01.01.2016</t>
        </r>
      </text>
    </comment>
    <comment ref="F15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01.09.2016</t>
        </r>
      </text>
    </comment>
    <comment ref="F15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комплектовании на 01.09.2016 38 чел.</t>
        </r>
      </text>
    </comment>
    <comment ref="F15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комплектовании на 01.09.16  97 чел.</t>
        </r>
      </text>
    </comment>
    <comment ref="F15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комплектованиии на 01.09.2016   110 чел.</t>
        </r>
      </text>
    </comment>
    <comment ref="F15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комплектовании на 01.09.2016  39</t>
        </r>
      </text>
    </comment>
    <comment ref="H15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формула не корректно считает</t>
        </r>
      </text>
    </comment>
    <comment ref="D16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01.09.2015</t>
        </r>
      </text>
    </comment>
    <comment ref="F16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01.09.2016</t>
        </r>
      </text>
    </comment>
    <comment ref="F16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 уч-ся по вакансиям</t>
        </r>
      </text>
    </comment>
    <comment ref="J17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 гр по вакансиям </t>
        </r>
      </text>
    </comment>
    <comment ref="K17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 часы по вакансиям </t>
        </r>
      </text>
    </comment>
    <comment ref="J18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 гр. По вакансиям</t>
        </r>
      </text>
    </comment>
    <comment ref="K18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 часы по вакансиям </t>
        </r>
      </text>
    </comment>
  </commentList>
</comments>
</file>

<file path=xl/sharedStrings.xml><?xml version="1.0" encoding="utf-8"?>
<sst xmlns="http://schemas.openxmlformats.org/spreadsheetml/2006/main" count="687" uniqueCount="297">
  <si>
    <t>ОТ1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</si>
  <si>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</si>
  <si>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</si>
  <si>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</si>
  <si>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</si>
  <si>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</si>
  <si>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</si>
  <si>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</si>
  <si>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</si>
  <si>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12=1+2+3+4+5+6+7+8+9+10+11</t>
  </si>
  <si>
    <t>МЗ и ОЦДИ</t>
  </si>
  <si>
    <t>Затраты, непосредственно связанные с оказанием услуги, руб.</t>
  </si>
  <si>
    <t>Затраты на общехозяйственные нужды, руб</t>
  </si>
  <si>
    <t>Базовый норматив затрат на оказание услуги, руб.</t>
  </si>
  <si>
    <t>Наименованиеимуниципальной услуги</t>
  </si>
  <si>
    <t>Присмотр и уход</t>
  </si>
  <si>
    <t>Реализация дополнительных общеразвивающих программ  1-3 лет</t>
  </si>
  <si>
    <t>доу 1</t>
  </si>
  <si>
    <t>доу 5</t>
  </si>
  <si>
    <t>Реализация дополнительных общеразвивающих программ  3-7 лет</t>
  </si>
  <si>
    <t>доу 3</t>
  </si>
  <si>
    <t>доу 4</t>
  </si>
  <si>
    <t>тсш 3</t>
  </si>
  <si>
    <t>бсш 5</t>
  </si>
  <si>
    <t>1-3 лет</t>
  </si>
  <si>
    <t>3-7 лет</t>
  </si>
  <si>
    <t>присмотр</t>
  </si>
  <si>
    <t>Итого</t>
  </si>
  <si>
    <t>Численность</t>
  </si>
  <si>
    <t>Расчетный объем  финансового обеспечения, руб.</t>
  </si>
  <si>
    <t>ССШ №1</t>
  </si>
  <si>
    <t>ССШ №2</t>
  </si>
  <si>
    <t>ССШ №3</t>
  </si>
  <si>
    <t>ССШ №5</t>
  </si>
  <si>
    <t>ССШ №6</t>
  </si>
  <si>
    <t>Реализация основных общеобразовательных программ начального общего образования</t>
  </si>
  <si>
    <t>ССШ №8</t>
  </si>
  <si>
    <t>СОШ №9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</si>
  <si>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</si>
  <si>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</si>
  <si>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основных общеобразовательных программ основного общего образования (форма очно-заочная)</t>
  </si>
  <si>
    <t>Реализация основных общеобразовательных программ среднего общего образования (форма очно-заочная)</t>
  </si>
  <si>
    <t>Реализация основных общеобразовательных программ начального общего образования (форма очная, адаптированная образовательная программа)</t>
  </si>
  <si>
    <t>Реализация основных общеобразовательных программ основного общего образования (форма очная, адаптированная образовательная программа)</t>
  </si>
  <si>
    <t>Реализация основных общеобразовательных программ начального общего образования (форма обучения на дому, адаптированная образовательная программа)</t>
  </si>
  <si>
    <t>Реализация основных общеобразовательных программ основного общего образования (форма обучения на дому, адаптированная образовательная программа)</t>
  </si>
  <si>
    <t>Реализация основных общеобразовательных программ среднего общего образования (форма обучения на дому, адаптированная образовательная программа)</t>
  </si>
  <si>
    <t>Присмотр и уход (группы продленного дня)</t>
  </si>
  <si>
    <t>Организация питания обучающихся</t>
  </si>
  <si>
    <t xml:space="preserve">Реализация дополнительных общеразвивающих программ </t>
  </si>
  <si>
    <t>Объем  финансового обеспечения по БН эфективного учреждения, руб.</t>
  </si>
  <si>
    <t>Отклонение</t>
  </si>
  <si>
    <t>Объем  финансового 2015г., руб.</t>
  </si>
  <si>
    <t>СВОД</t>
  </si>
  <si>
    <t>"+" недостаток, - излишек.</t>
  </si>
  <si>
    <t>Бюджет по нормативам</t>
  </si>
  <si>
    <t>ОФР</t>
  </si>
  <si>
    <t>Реализация основных общеобразовательных программ дошкольного образования 3-7 лет</t>
  </si>
  <si>
    <t>Реализация основных общеобразовательных программ дошкольного образования 1-3лет</t>
  </si>
  <si>
    <t>ИТОГО</t>
  </si>
  <si>
    <t>ТСШ №3</t>
  </si>
  <si>
    <t>БСШ №5</t>
  </si>
  <si>
    <t>расчетный бюджет</t>
  </si>
  <si>
    <t>Внебюджетные источники, руб.</t>
  </si>
  <si>
    <t>Плановая численность по МЗ</t>
  </si>
  <si>
    <t>Численность на 01.09.15</t>
  </si>
  <si>
    <t>за 8 месяцев</t>
  </si>
  <si>
    <t>Численность на 01.09.16</t>
  </si>
  <si>
    <t>за 4 месяца</t>
  </si>
  <si>
    <t>Уточненная среднегодовая численность на 2016 год</t>
  </si>
  <si>
    <t>округл</t>
  </si>
  <si>
    <t>СОШ1</t>
  </si>
  <si>
    <t>СОШ2</t>
  </si>
  <si>
    <t>ТСШ3 школа</t>
  </si>
  <si>
    <t>ТСШ3 сад</t>
  </si>
  <si>
    <t>БСШ5 школа</t>
  </si>
  <si>
    <t>БСШ5 сад</t>
  </si>
  <si>
    <t>НКСШ6</t>
  </si>
  <si>
    <t>ВСШ8 школа</t>
  </si>
  <si>
    <t>ВСШ8 сад</t>
  </si>
  <si>
    <t>ВОШ9 школа</t>
  </si>
  <si>
    <t>ВОШ9 сад</t>
  </si>
  <si>
    <t>Доу1</t>
  </si>
  <si>
    <t>Доу3</t>
  </si>
  <si>
    <t>Доу4</t>
  </si>
  <si>
    <t>Доу5</t>
  </si>
  <si>
    <t>Доу7</t>
  </si>
  <si>
    <t>Дюц</t>
  </si>
  <si>
    <t>отдых (дюц)</t>
  </si>
  <si>
    <t>Дюсш</t>
  </si>
  <si>
    <t>отдых (дюсш)</t>
  </si>
  <si>
    <t>МУ общее образование</t>
  </si>
  <si>
    <t>МУ дошкольное образование</t>
  </si>
  <si>
    <t>МУ присмотр и уход</t>
  </si>
  <si>
    <t>МУ дополнительное образование</t>
  </si>
  <si>
    <t>МУ отдых детей в каникулярное время</t>
  </si>
  <si>
    <t xml:space="preserve">Наименование Муниципальной услуги </t>
  </si>
  <si>
    <t xml:space="preserve">Реализация основных общеобразовательных программ дошкольного образования </t>
  </si>
  <si>
    <t>ТСШ № 3</t>
  </si>
  <si>
    <t xml:space="preserve">БСШ № 5 </t>
  </si>
  <si>
    <t>ВСШ № 8</t>
  </si>
  <si>
    <t>Присмотр и уход (гр. полного дня )</t>
  </si>
  <si>
    <t>ССШ № 1</t>
  </si>
  <si>
    <t>ССШ № 2</t>
  </si>
  <si>
    <t>НКСШ № 6</t>
  </si>
  <si>
    <t>ВОШ № 9</t>
  </si>
  <si>
    <t xml:space="preserve"> включено  в мз  с 01.01.2017</t>
  </si>
  <si>
    <t>включено  в мз 10.10.2016г в своде нет</t>
  </si>
  <si>
    <t>В МЗ 10.10.2016 включен, в своде  нет</t>
  </si>
  <si>
    <t xml:space="preserve">*В МЗ 10.10.2016 включен, в своде есть , но в среднем обр. на дому </t>
  </si>
  <si>
    <t xml:space="preserve">В МЗ 10.10.2016 включен, в своде нет </t>
  </si>
  <si>
    <t>В МЗ 10.10.2016 включен, в своде 2</t>
  </si>
  <si>
    <t>проект мз 2017</t>
  </si>
  <si>
    <t>кол-во групп</t>
  </si>
  <si>
    <t>Реализация дополнительных общеразвивающих программ (чел. Час)</t>
  </si>
  <si>
    <t>Реализация дополнительных общеразвивающих программ (чел. )</t>
  </si>
  <si>
    <t>Реализация дополнительных общеразвивающих программ   ФСК (чел. )</t>
  </si>
  <si>
    <t>тренажеры</t>
  </si>
  <si>
    <t>Реализация дополнительных общеразвивающих программ (чел. )  среднее</t>
  </si>
  <si>
    <t>ДОУ  до 3 лет</t>
  </si>
  <si>
    <t>ДОУ № 1</t>
  </si>
  <si>
    <t>ДОУ № 5</t>
  </si>
  <si>
    <t>ДОУ   3-8 лет</t>
  </si>
  <si>
    <t>ДОУ № 3</t>
  </si>
  <si>
    <t>ДОУ № 4</t>
  </si>
  <si>
    <t>ДОУ № 7</t>
  </si>
  <si>
    <t>ДЮСШ чел.</t>
  </si>
  <si>
    <t>общее</t>
  </si>
  <si>
    <t>МЗ на 01.11.2016 + предпрофессион-я подготовка</t>
  </si>
  <si>
    <t xml:space="preserve">Пед ставка </t>
  </si>
  <si>
    <t>Кол-во групп</t>
  </si>
  <si>
    <t>Кол-во человек</t>
  </si>
  <si>
    <t xml:space="preserve">баскет бол </t>
  </si>
  <si>
    <t>ДЮСШ человеко-час</t>
  </si>
  <si>
    <t xml:space="preserve">Физкультурно-спортивная </t>
  </si>
  <si>
    <t>57 гр</t>
  </si>
  <si>
    <t>волейбол</t>
  </si>
  <si>
    <t xml:space="preserve">ДЮСШ  мероприятия </t>
  </si>
  <si>
    <t>ГТО</t>
  </si>
  <si>
    <t>Дзюдо</t>
  </si>
  <si>
    <t xml:space="preserve">Предпрофессиональная </t>
  </si>
  <si>
    <t>-</t>
  </si>
  <si>
    <t>Каратэ</t>
  </si>
  <si>
    <t>ДЮЦ чел.</t>
  </si>
  <si>
    <t>Плавание</t>
  </si>
  <si>
    <t>ДЮЦ чел</t>
  </si>
  <si>
    <t xml:space="preserve">Естественно -научная </t>
  </si>
  <si>
    <t>Хокей</t>
  </si>
  <si>
    <t xml:space="preserve">Техническое </t>
  </si>
  <si>
    <t>Самбо</t>
  </si>
  <si>
    <t xml:space="preserve">Социально-педагогическое </t>
  </si>
  <si>
    <t>лыжные</t>
  </si>
  <si>
    <t>шахматы</t>
  </si>
  <si>
    <t>Художественная</t>
  </si>
  <si>
    <t>бокс</t>
  </si>
  <si>
    <t xml:space="preserve">Туристко-краеведческое </t>
  </si>
  <si>
    <t>Организация отдыха детей в каникулярное время (круглосуточное пребывание)</t>
  </si>
  <si>
    <t>Организация отдыха детей в каникулярное время (дневное пребывание)</t>
  </si>
  <si>
    <t xml:space="preserve">Кол-во груп </t>
  </si>
  <si>
    <t>пед. Ставка</t>
  </si>
  <si>
    <t>ДЮЦ человеко-час</t>
  </si>
  <si>
    <t>Список детей находящихся на индивидуальном и интегрированном обучении 2016-2017 уч.год</t>
  </si>
  <si>
    <t>Школа</t>
  </si>
  <si>
    <t>класс</t>
  </si>
  <si>
    <t>ФИО</t>
  </si>
  <si>
    <t>год рождения</t>
  </si>
  <si>
    <t>индивидуальное обучение на дому</t>
  </si>
  <si>
    <t>Из них: дети-инвалиды</t>
  </si>
  <si>
    <t>зпр</t>
  </si>
  <si>
    <t>ЛУО</t>
  </si>
  <si>
    <t>УУО</t>
  </si>
  <si>
    <t>часы</t>
  </si>
  <si>
    <t>СШ №1</t>
  </si>
  <si>
    <t xml:space="preserve">1А </t>
  </si>
  <si>
    <t xml:space="preserve">Марченко Владимир Иванович </t>
  </si>
  <si>
    <t>1В</t>
  </si>
  <si>
    <t xml:space="preserve">Голубев Федор Николаевич </t>
  </si>
  <si>
    <t xml:space="preserve">1В  </t>
  </si>
  <si>
    <t xml:space="preserve">Коробейников Даниил Владимирович </t>
  </si>
  <si>
    <t>Паросочкин Андрей Вадимович</t>
  </si>
  <si>
    <t xml:space="preserve">Пронова Анастасия Сергеевна </t>
  </si>
  <si>
    <t>2А</t>
  </si>
  <si>
    <t>Чуруксаева Полина Вячеславовна</t>
  </si>
  <si>
    <t>2Б</t>
  </si>
  <si>
    <t>Третьяков Руслан Андреевич</t>
  </si>
  <si>
    <t xml:space="preserve">2В </t>
  </si>
  <si>
    <t>Белов Иван Дмитриевич</t>
  </si>
  <si>
    <t>Яковлева Вероника Алексеевна</t>
  </si>
  <si>
    <t>Пиджаков Тимофей Евгеньевич</t>
  </si>
  <si>
    <t xml:space="preserve">3А </t>
  </si>
  <si>
    <t>Трапезников Иван Александрович</t>
  </si>
  <si>
    <t>3Б</t>
  </si>
  <si>
    <t>Заремба Ангелина Руслановна</t>
  </si>
  <si>
    <t xml:space="preserve">3В </t>
  </si>
  <si>
    <t>Кириллов Артем Дмитриевич</t>
  </si>
  <si>
    <t>Павловский Сергей Павлович</t>
  </si>
  <si>
    <t xml:space="preserve">Мартынов Константин Александрович </t>
  </si>
  <si>
    <t>4Б</t>
  </si>
  <si>
    <t>Микитюк Екатерина Дмитриевна</t>
  </si>
  <si>
    <t>4В</t>
  </si>
  <si>
    <t>Сорокин Николай Сергеевич</t>
  </si>
  <si>
    <t>5Б</t>
  </si>
  <si>
    <t>Соболева Полина Сергеевна</t>
  </si>
  <si>
    <t>5В</t>
  </si>
  <si>
    <t>Борцов Никита Иванович</t>
  </si>
  <si>
    <t>6А</t>
  </si>
  <si>
    <t xml:space="preserve">Панкевич Артем Александрович </t>
  </si>
  <si>
    <t>Вахрушев Данила Романович</t>
  </si>
  <si>
    <t>Кузнецов Даниил Андреевич</t>
  </si>
  <si>
    <t>6Б</t>
  </si>
  <si>
    <t>Мартынов Валентин Андреевич</t>
  </si>
  <si>
    <t>Емельянов Виктор Геннадьевич</t>
  </si>
  <si>
    <t>7Б</t>
  </si>
  <si>
    <t>Вахрушев Роман Романович</t>
  </si>
  <si>
    <t>8А</t>
  </si>
  <si>
    <t>Иванов Виталий Александрович</t>
  </si>
  <si>
    <t>9А</t>
  </si>
  <si>
    <t>Павлов-Алексеев Константин Иванович</t>
  </si>
  <si>
    <t>Примоченко Валерия Сергеевна</t>
  </si>
  <si>
    <t>СШ № 2</t>
  </si>
  <si>
    <t xml:space="preserve">Цымбалов Сергей Алексеевич </t>
  </si>
  <si>
    <t xml:space="preserve">Зенков Тимофей Леонидович </t>
  </si>
  <si>
    <t xml:space="preserve">Новоселов Богдан Викторович </t>
  </si>
  <si>
    <t xml:space="preserve">ЕвпатоваАнна Сергеевна </t>
  </si>
  <si>
    <t>Ефремов Иван Александрович</t>
  </si>
  <si>
    <t>1Б</t>
  </si>
  <si>
    <t xml:space="preserve">Логачев Кирилл Денисович </t>
  </si>
  <si>
    <t xml:space="preserve">Астафьев Владимир Павлович </t>
  </si>
  <si>
    <t xml:space="preserve">Афанасьев Павел Дмитриевич </t>
  </si>
  <si>
    <t xml:space="preserve">2А </t>
  </si>
  <si>
    <t>Олиниченко Сергей Теодорович</t>
  </si>
  <si>
    <t>Рябчевский Егор Вячеславович</t>
  </si>
  <si>
    <t>Амерханов Амир Геланьевич</t>
  </si>
  <si>
    <t xml:space="preserve">2Б </t>
  </si>
  <si>
    <t>Лашкова София Николаевна</t>
  </si>
  <si>
    <t xml:space="preserve">Платонова София Александровна </t>
  </si>
  <si>
    <t>Тулупов Георгий Константинович</t>
  </si>
  <si>
    <t xml:space="preserve">Ярков Евгений Михайлович </t>
  </si>
  <si>
    <t xml:space="preserve">Асхабов Анатолий Владимирович </t>
  </si>
  <si>
    <t>Кулундук Олег Петрович</t>
  </si>
  <si>
    <t xml:space="preserve">3Б </t>
  </si>
  <si>
    <t xml:space="preserve">Дубровская Алена Сергеевна </t>
  </si>
  <si>
    <t xml:space="preserve">Жиленко Екатерина Михайловна </t>
  </si>
  <si>
    <t>Олинченко Данил Теодорович</t>
  </si>
  <si>
    <t>Красиков Дмитрий Эдуардович</t>
  </si>
  <si>
    <t xml:space="preserve">4А </t>
  </si>
  <si>
    <t>Левин Даниил Павлович</t>
  </si>
  <si>
    <t>Лыткин Сергей Алексеевич</t>
  </si>
  <si>
    <t>5А</t>
  </si>
  <si>
    <t>Петухов Николай Петрович</t>
  </si>
  <si>
    <t>Гац Ростислав Евгеньевич</t>
  </si>
  <si>
    <t xml:space="preserve">Бойко Кирилл Александрович </t>
  </si>
  <si>
    <t xml:space="preserve">Лисипин Егор Евгеньевич </t>
  </si>
  <si>
    <t xml:space="preserve">Гулак Алексей Викторович </t>
  </si>
  <si>
    <t xml:space="preserve">Гулак Иван  Викторович </t>
  </si>
  <si>
    <t>Селиванов Степан Сергеевич</t>
  </si>
  <si>
    <t>БСШ №</t>
  </si>
  <si>
    <t xml:space="preserve">Ромарнюк Анастасия </t>
  </si>
  <si>
    <t>Смирнова Алена Александровна</t>
  </si>
  <si>
    <t>ВСЕГО</t>
  </si>
  <si>
    <t>Дети-инвалиды обучающиеся в общеобразовательном классе</t>
  </si>
  <si>
    <t>СШ №2</t>
  </si>
  <si>
    <t>НСШ №6</t>
  </si>
  <si>
    <t>Пецын Максим Владимирович</t>
  </si>
  <si>
    <t>Кубанцев Сергей Сергеевич</t>
  </si>
  <si>
    <t>Новиков Илья Владимирович</t>
  </si>
  <si>
    <t>Киселева Юлия Петровна</t>
  </si>
  <si>
    <t>ВСШ №8</t>
  </si>
  <si>
    <t>предпр</t>
  </si>
  <si>
    <t>Реализация дополнительных общеразвивающих программ (физкультурно-спортивная направленность)</t>
  </si>
  <si>
    <t>Реализация дополнительных общеразвивающих программ (предпрофессиональная подготовка)</t>
  </si>
  <si>
    <t>получатели</t>
  </si>
  <si>
    <t>ДЮСШ</t>
  </si>
  <si>
    <t>Реализация дополнительных общеразвивающих программ (художественная направленность)</t>
  </si>
  <si>
    <t>Реализация дополнительных общеразвивающих программ (туристско-краеведческая направленность)</t>
  </si>
  <si>
    <t>Реализация дополнительных общеразвивающих программ (техническая направленность)</t>
  </si>
  <si>
    <t>Реализация дополнительных общеразвивающих программ (социально-педагогическая направленность)</t>
  </si>
  <si>
    <t>Реализация дополнительных общеразвивающих программ (естественнонаучная направленность)</t>
  </si>
  <si>
    <t>ДЮЦ</t>
  </si>
  <si>
    <t>бюдж+предпр</t>
  </si>
  <si>
    <t>ДОУ 1</t>
  </si>
  <si>
    <t>ДОУ 3</t>
  </si>
  <si>
    <t>ДОУ 4</t>
  </si>
  <si>
    <t>ДОУ 5</t>
  </si>
  <si>
    <t>утверждено бюджетом, руб.</t>
  </si>
  <si>
    <t>доу 8</t>
  </si>
  <si>
    <t>ДОУ 8</t>
  </si>
  <si>
    <t>доу8</t>
  </si>
  <si>
    <t>Реализация основных общеобразовательных программ среднего общего образования (форма очная, адаптированная образовательная программа)</t>
  </si>
  <si>
    <t>утвержд 2020</t>
  </si>
  <si>
    <t>расч бюджет 2020</t>
  </si>
  <si>
    <t>2020 утв. Бюджет</t>
  </si>
  <si>
    <t>ВОШ №9</t>
  </si>
  <si>
    <t xml:space="preserve">ВСШ №8 </t>
  </si>
  <si>
    <t xml:space="preserve">Отдых </t>
  </si>
  <si>
    <t>ИТОГО:</t>
  </si>
  <si>
    <t>Реализация дополнительных общеразвивающих программ (Спортивная подготовка поо неолимпийским видам спорта)</t>
  </si>
</sst>
</file>

<file path=xl/styles.xml><?xml version="1.0" encoding="utf-8"?>
<styleSheet xmlns="http://schemas.openxmlformats.org/spreadsheetml/2006/main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0_р_._-;\-* #,##0.0000_р_._-;_-* &quot;-&quot;??_р_._-;_-@_-"/>
    <numFmt numFmtId="166" formatCode="0.0"/>
    <numFmt numFmtId="167" formatCode="0.0000000"/>
    <numFmt numFmtId="168" formatCode="#,##0.0000000"/>
    <numFmt numFmtId="169" formatCode="#,##0.000000"/>
    <numFmt numFmtId="170" formatCode="#,##0.00000000"/>
    <numFmt numFmtId="171" formatCode="#,##0.00_ ;\-#,##0.00\ "/>
  </numFmts>
  <fonts count="29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name val="Arial Cyr"/>
    </font>
    <font>
      <b/>
      <sz val="14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1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2">
    <xf numFmtId="0" fontId="0" fillId="0" borderId="0"/>
    <xf numFmtId="0" fontId="2" fillId="0" borderId="0"/>
    <xf numFmtId="0" fontId="5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164" fontId="9" fillId="0" borderId="0" applyFont="0" applyFill="0" applyBorder="0" applyAlignment="0" applyProtection="0"/>
    <xf numFmtId="0" fontId="19" fillId="0" borderId="0"/>
    <xf numFmtId="0" fontId="2" fillId="0" borderId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</cellStyleXfs>
  <cellXfs count="431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left" wrapText="1"/>
    </xf>
    <xf numFmtId="2" fontId="3" fillId="3" borderId="1" xfId="0" applyNumberFormat="1" applyFont="1" applyFill="1" applyBorder="1" applyAlignment="1">
      <alignment horizontal="center"/>
    </xf>
    <xf numFmtId="2" fontId="6" fillId="4" borderId="1" xfId="0" applyNumberFormat="1" applyFont="1" applyFill="1" applyBorder="1" applyAlignment="1">
      <alignment horizontal="center"/>
    </xf>
    <xf numFmtId="164" fontId="6" fillId="4" borderId="1" xfId="23" applyFont="1" applyFill="1" applyBorder="1" applyAlignment="1">
      <alignment horizontal="center"/>
    </xf>
    <xf numFmtId="0" fontId="1" fillId="0" borderId="0" xfId="0" applyFont="1" applyFill="1"/>
    <xf numFmtId="164" fontId="1" fillId="0" borderId="0" xfId="0" applyNumberFormat="1" applyFont="1"/>
    <xf numFmtId="0" fontId="1" fillId="0" borderId="0" xfId="0" applyFont="1" applyAlignment="1">
      <alignment horizontal="right"/>
    </xf>
    <xf numFmtId="16" fontId="1" fillId="0" borderId="2" xfId="23" applyNumberFormat="1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164" fontId="0" fillId="0" borderId="0" xfId="23" applyFont="1"/>
    <xf numFmtId="0" fontId="1" fillId="0" borderId="5" xfId="0" applyFont="1" applyBorder="1"/>
    <xf numFmtId="164" fontId="1" fillId="0" borderId="5" xfId="0" applyNumberFormat="1" applyFont="1" applyBorder="1"/>
    <xf numFmtId="164" fontId="0" fillId="0" borderId="5" xfId="23" applyFont="1" applyBorder="1"/>
    <xf numFmtId="0" fontId="3" fillId="0" borderId="5" xfId="0" applyFont="1" applyBorder="1" applyAlignment="1">
      <alignment horizontal="left" wrapText="1"/>
    </xf>
    <xf numFmtId="0" fontId="3" fillId="5" borderId="1" xfId="0" applyFont="1" applyFill="1" applyBorder="1" applyAlignment="1">
      <alignment horizontal="left" wrapText="1"/>
    </xf>
    <xf numFmtId="164" fontId="1" fillId="5" borderId="5" xfId="0" applyNumberFormat="1" applyFont="1" applyFill="1" applyBorder="1"/>
    <xf numFmtId="164" fontId="0" fillId="5" borderId="5" xfId="23" applyFont="1" applyFill="1" applyBorder="1"/>
    <xf numFmtId="164" fontId="1" fillId="5" borderId="0" xfId="0" applyNumberFormat="1" applyFont="1" applyFill="1"/>
    <xf numFmtId="0" fontId="1" fillId="5" borderId="0" xfId="0" applyFont="1" applyFill="1"/>
    <xf numFmtId="0" fontId="3" fillId="0" borderId="1" xfId="0" applyFont="1" applyFill="1" applyBorder="1" applyAlignment="1">
      <alignment horizontal="left" wrapText="1"/>
    </xf>
    <xf numFmtId="164" fontId="1" fillId="0" borderId="5" xfId="0" applyNumberFormat="1" applyFont="1" applyFill="1" applyBorder="1"/>
    <xf numFmtId="164" fontId="0" fillId="0" borderId="5" xfId="23" applyFont="1" applyFill="1" applyBorder="1"/>
    <xf numFmtId="164" fontId="1" fillId="0" borderId="0" xfId="0" applyNumberFormat="1" applyFont="1" applyFill="1"/>
    <xf numFmtId="164" fontId="1" fillId="5" borderId="5" xfId="23" applyFont="1" applyFill="1" applyBorder="1"/>
    <xf numFmtId="164" fontId="1" fillId="7" borderId="5" xfId="0" applyNumberFormat="1" applyFont="1" applyFill="1" applyBorder="1"/>
    <xf numFmtId="0" fontId="1" fillId="0" borderId="5" xfId="0" applyFont="1" applyFill="1" applyBorder="1"/>
    <xf numFmtId="0" fontId="1" fillId="0" borderId="6" xfId="0" applyFont="1" applyBorder="1"/>
    <xf numFmtId="0" fontId="1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16" fontId="1" fillId="0" borderId="5" xfId="23" applyNumberFormat="1" applyFont="1" applyBorder="1" applyAlignment="1">
      <alignment horizontal="right"/>
    </xf>
    <xf numFmtId="164" fontId="1" fillId="0" borderId="5" xfId="0" applyNumberFormat="1" applyFont="1" applyFill="1" applyBorder="1" applyAlignment="1">
      <alignment horizontal="center" vertical="center"/>
    </xf>
    <xf numFmtId="164" fontId="1" fillId="0" borderId="0" xfId="23" applyFont="1"/>
    <xf numFmtId="0" fontId="1" fillId="4" borderId="5" xfId="0" applyFont="1" applyFill="1" applyBorder="1"/>
    <xf numFmtId="164" fontId="1" fillId="4" borderId="0" xfId="0" applyNumberFormat="1" applyFont="1" applyFill="1"/>
    <xf numFmtId="164" fontId="1" fillId="5" borderId="0" xfId="23" applyFont="1" applyFill="1" applyAlignment="1">
      <alignment horizontal="center"/>
    </xf>
    <xf numFmtId="2" fontId="3" fillId="3" borderId="5" xfId="0" applyNumberFormat="1" applyFont="1" applyFill="1" applyBorder="1" applyAlignment="1">
      <alignment horizontal="center"/>
    </xf>
    <xf numFmtId="164" fontId="1" fillId="0" borderId="0" xfId="23" applyFont="1" applyFill="1" applyAlignment="1">
      <alignment horizontal="center"/>
    </xf>
    <xf numFmtId="0" fontId="4" fillId="0" borderId="0" xfId="0" applyFont="1" applyBorder="1" applyAlignment="1">
      <alignment horizontal="center"/>
    </xf>
    <xf numFmtId="16" fontId="1" fillId="0" borderId="0" xfId="23" applyNumberFormat="1" applyFont="1" applyBorder="1" applyAlignment="1">
      <alignment horizontal="right"/>
    </xf>
    <xf numFmtId="164" fontId="1" fillId="0" borderId="0" xfId="0" applyNumberFormat="1" applyFont="1" applyBorder="1"/>
    <xf numFmtId="164" fontId="1" fillId="0" borderId="5" xfId="23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164" fontId="1" fillId="0" borderId="5" xfId="23" applyFont="1" applyBorder="1"/>
    <xf numFmtId="164" fontId="1" fillId="0" borderId="5" xfId="23" applyFont="1" applyFill="1" applyBorder="1"/>
    <xf numFmtId="164" fontId="1" fillId="4" borderId="5" xfId="0" applyNumberFormat="1" applyFont="1" applyFill="1" applyBorder="1"/>
    <xf numFmtId="164" fontId="1" fillId="4" borderId="5" xfId="23" applyFont="1" applyFill="1" applyBorder="1"/>
    <xf numFmtId="0" fontId="3" fillId="2" borderId="3" xfId="0" applyFont="1" applyFill="1" applyBorder="1" applyAlignment="1">
      <alignment horizontal="center"/>
    </xf>
    <xf numFmtId="0" fontId="1" fillId="0" borderId="3" xfId="0" applyFont="1" applyBorder="1"/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5" xfId="0" applyBorder="1" applyAlignment="1">
      <alignment wrapText="1"/>
    </xf>
    <xf numFmtId="0" fontId="0" fillId="7" borderId="5" xfId="0" applyFill="1" applyBorder="1" applyAlignment="1">
      <alignment wrapText="1"/>
    </xf>
    <xf numFmtId="0" fontId="0" fillId="4" borderId="5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5" xfId="0" applyBorder="1"/>
    <xf numFmtId="3" fontId="0" fillId="7" borderId="5" xfId="0" applyNumberFormat="1" applyFill="1" applyBorder="1"/>
    <xf numFmtId="3" fontId="0" fillId="0" borderId="5" xfId="0" applyNumberFormat="1" applyBorder="1"/>
    <xf numFmtId="3" fontId="0" fillId="4" borderId="5" xfId="0" applyNumberFormat="1" applyFill="1" applyBorder="1"/>
    <xf numFmtId="0" fontId="11" fillId="0" borderId="5" xfId="0" applyFont="1" applyBorder="1"/>
    <xf numFmtId="0" fontId="12" fillId="0" borderId="5" xfId="0" applyFont="1" applyFill="1" applyBorder="1"/>
    <xf numFmtId="3" fontId="12" fillId="4" borderId="5" xfId="0" applyNumberFormat="1" applyFont="1" applyFill="1" applyBorder="1"/>
    <xf numFmtId="0" fontId="12" fillId="0" borderId="5" xfId="0" applyFont="1" applyBorder="1"/>
    <xf numFmtId="3" fontId="12" fillId="0" borderId="5" xfId="0" applyNumberFormat="1" applyFont="1" applyBorder="1"/>
    <xf numFmtId="0" fontId="12" fillId="0" borderId="0" xfId="0" applyFont="1"/>
    <xf numFmtId="0" fontId="12" fillId="0" borderId="0" xfId="0" applyFont="1" applyFill="1"/>
    <xf numFmtId="0" fontId="0" fillId="6" borderId="6" xfId="0" applyFill="1" applyBorder="1" applyAlignment="1">
      <alignment horizontal="center" wrapText="1"/>
    </xf>
    <xf numFmtId="0" fontId="0" fillId="6" borderId="6" xfId="0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0" xfId="0" applyBorder="1"/>
    <xf numFmtId="3" fontId="0" fillId="0" borderId="11" xfId="0" applyNumberFormat="1" applyFill="1" applyBorder="1"/>
    <xf numFmtId="3" fontId="0" fillId="9" borderId="11" xfId="0" applyNumberFormat="1" applyFill="1" applyBorder="1"/>
    <xf numFmtId="3" fontId="0" fillId="0" borderId="11" xfId="0" applyNumberFormat="1" applyBorder="1"/>
    <xf numFmtId="3" fontId="0" fillId="10" borderId="11" xfId="0" applyNumberFormat="1" applyFill="1" applyBorder="1"/>
    <xf numFmtId="3" fontId="0" fillId="11" borderId="11" xfId="0" applyNumberFormat="1" applyFill="1" applyBorder="1"/>
    <xf numFmtId="3" fontId="0" fillId="7" borderId="12" xfId="0" applyNumberFormat="1" applyFill="1" applyBorder="1"/>
    <xf numFmtId="0" fontId="14" fillId="0" borderId="0" xfId="0" applyFont="1" applyBorder="1"/>
    <xf numFmtId="3" fontId="14" fillId="0" borderId="0" xfId="0" applyNumberFormat="1" applyFont="1" applyFill="1" applyBorder="1"/>
    <xf numFmtId="0" fontId="0" fillId="0" borderId="0" xfId="0" applyBorder="1"/>
    <xf numFmtId="0" fontId="0" fillId="0" borderId="14" xfId="0" applyBorder="1"/>
    <xf numFmtId="3" fontId="0" fillId="0" borderId="5" xfId="0" applyNumberFormat="1" applyFill="1" applyBorder="1"/>
    <xf numFmtId="3" fontId="0" fillId="9" borderId="5" xfId="0" applyNumberFormat="1" applyFill="1" applyBorder="1"/>
    <xf numFmtId="3" fontId="0" fillId="10" borderId="5" xfId="0" applyNumberFormat="1" applyFill="1" applyBorder="1"/>
    <xf numFmtId="3" fontId="0" fillId="11" borderId="5" xfId="0" applyNumberFormat="1" applyFill="1" applyBorder="1"/>
    <xf numFmtId="3" fontId="0" fillId="7" borderId="15" xfId="0" applyNumberFormat="1" applyFill="1" applyBorder="1"/>
    <xf numFmtId="0" fontId="0" fillId="0" borderId="17" xfId="0" applyBorder="1"/>
    <xf numFmtId="3" fontId="0" fillId="0" borderId="18" xfId="0" applyNumberFormat="1" applyFill="1" applyBorder="1"/>
    <xf numFmtId="3" fontId="0" fillId="9" borderId="18" xfId="0" applyNumberFormat="1" applyFill="1" applyBorder="1"/>
    <xf numFmtId="3" fontId="0" fillId="0" borderId="18" xfId="0" applyNumberFormat="1" applyBorder="1"/>
    <xf numFmtId="3" fontId="0" fillId="10" borderId="18" xfId="0" applyNumberFormat="1" applyFill="1" applyBorder="1"/>
    <xf numFmtId="3" fontId="0" fillId="11" borderId="18" xfId="0" applyNumberFormat="1" applyFill="1" applyBorder="1"/>
    <xf numFmtId="3" fontId="0" fillId="7" borderId="19" xfId="0" applyNumberFormat="1" applyFill="1" applyBorder="1"/>
    <xf numFmtId="0" fontId="0" fillId="0" borderId="21" xfId="0" applyBorder="1"/>
    <xf numFmtId="3" fontId="10" fillId="10" borderId="11" xfId="0" applyNumberFormat="1" applyFont="1" applyFill="1" applyBorder="1"/>
    <xf numFmtId="0" fontId="14" fillId="0" borderId="0" xfId="0" applyFont="1" applyFill="1" applyBorder="1"/>
    <xf numFmtId="0" fontId="0" fillId="0" borderId="8" xfId="0" applyBorder="1"/>
    <xf numFmtId="0" fontId="0" fillId="0" borderId="24" xfId="0" applyBorder="1"/>
    <xf numFmtId="0" fontId="0" fillId="0" borderId="25" xfId="0" applyBorder="1"/>
    <xf numFmtId="3" fontId="0" fillId="0" borderId="3" xfId="0" applyNumberFormat="1" applyFill="1" applyBorder="1"/>
    <xf numFmtId="3" fontId="0" fillId="9" borderId="3" xfId="0" applyNumberFormat="1" applyFill="1" applyBorder="1"/>
    <xf numFmtId="3" fontId="0" fillId="0" borderId="3" xfId="0" applyNumberFormat="1" applyBorder="1"/>
    <xf numFmtId="3" fontId="0" fillId="10" borderId="3" xfId="0" applyNumberFormat="1" applyFill="1" applyBorder="1"/>
    <xf numFmtId="3" fontId="0" fillId="11" borderId="3" xfId="0" applyNumberFormat="1" applyFill="1" applyBorder="1"/>
    <xf numFmtId="3" fontId="0" fillId="7" borderId="3" xfId="0" applyNumberFormat="1" applyFill="1" applyBorder="1"/>
    <xf numFmtId="0" fontId="0" fillId="0" borderId="0" xfId="0" applyFill="1" applyBorder="1"/>
    <xf numFmtId="0" fontId="0" fillId="0" borderId="26" xfId="0" applyBorder="1"/>
    <xf numFmtId="3" fontId="0" fillId="0" borderId="6" xfId="0" applyNumberFormat="1" applyFill="1" applyBorder="1"/>
    <xf numFmtId="3" fontId="0" fillId="9" borderId="6" xfId="0" applyNumberFormat="1" applyFill="1" applyBorder="1"/>
    <xf numFmtId="3" fontId="0" fillId="0" borderId="6" xfId="0" applyNumberFormat="1" applyBorder="1"/>
    <xf numFmtId="3" fontId="0" fillId="10" borderId="6" xfId="0" applyNumberFormat="1" applyFill="1" applyBorder="1"/>
    <xf numFmtId="3" fontId="0" fillId="11" borderId="6" xfId="0" applyNumberFormat="1" applyFill="1" applyBorder="1"/>
    <xf numFmtId="3" fontId="0" fillId="7" borderId="6" xfId="0" applyNumberFormat="1" applyFill="1" applyBorder="1"/>
    <xf numFmtId="3" fontId="15" fillId="10" borderId="5" xfId="0" applyNumberFormat="1" applyFont="1" applyFill="1" applyBorder="1"/>
    <xf numFmtId="0" fontId="10" fillId="12" borderId="0" xfId="0" applyFont="1" applyFill="1"/>
    <xf numFmtId="0" fontId="0" fillId="12" borderId="0" xfId="0" applyFill="1"/>
    <xf numFmtId="0" fontId="0" fillId="4" borderId="0" xfId="0" applyFill="1"/>
    <xf numFmtId="3" fontId="0" fillId="8" borderId="5" xfId="0" applyNumberFormat="1" applyFill="1" applyBorder="1"/>
    <xf numFmtId="3" fontId="0" fillId="8" borderId="11" xfId="0" applyNumberFormat="1" applyFill="1" applyBorder="1"/>
    <xf numFmtId="0" fontId="10" fillId="0" borderId="0" xfId="0" applyFont="1"/>
    <xf numFmtId="3" fontId="10" fillId="11" borderId="11" xfId="0" applyNumberFormat="1" applyFont="1" applyFill="1" applyBorder="1"/>
    <xf numFmtId="3" fontId="0" fillId="7" borderId="27" xfId="0" applyNumberFormat="1" applyFill="1" applyBorder="1"/>
    <xf numFmtId="3" fontId="10" fillId="11" borderId="5" xfId="0" applyNumberFormat="1" applyFont="1" applyFill="1" applyBorder="1"/>
    <xf numFmtId="3" fontId="0" fillId="7" borderId="7" xfId="0" applyNumberFormat="1" applyFill="1" applyBorder="1"/>
    <xf numFmtId="3" fontId="10" fillId="11" borderId="18" xfId="0" applyNumberFormat="1" applyFont="1" applyFill="1" applyBorder="1"/>
    <xf numFmtId="3" fontId="0" fillId="7" borderId="28" xfId="0" applyNumberFormat="1" applyFill="1" applyBorder="1"/>
    <xf numFmtId="0" fontId="13" fillId="0" borderId="13" xfId="0" applyFont="1" applyBorder="1" applyAlignment="1">
      <alignment horizontal="center" wrapText="1"/>
    </xf>
    <xf numFmtId="0" fontId="0" fillId="0" borderId="29" xfId="0" applyBorder="1"/>
    <xf numFmtId="3" fontId="0" fillId="0" borderId="4" xfId="0" applyNumberFormat="1" applyFill="1" applyBorder="1"/>
    <xf numFmtId="3" fontId="0" fillId="9" borderId="4" xfId="0" applyNumberFormat="1" applyFill="1" applyBorder="1"/>
    <xf numFmtId="3" fontId="0" fillId="0" borderId="4" xfId="0" applyNumberFormat="1" applyBorder="1"/>
    <xf numFmtId="3" fontId="0" fillId="10" borderId="4" xfId="0" applyNumberFormat="1" applyFill="1" applyBorder="1"/>
    <xf numFmtId="3" fontId="10" fillId="11" borderId="4" xfId="0" applyNumberFormat="1" applyFont="1" applyFill="1" applyBorder="1"/>
    <xf numFmtId="3" fontId="0" fillId="7" borderId="30" xfId="0" applyNumberFormat="1" applyFill="1" applyBorder="1"/>
    <xf numFmtId="1" fontId="10" fillId="0" borderId="20" xfId="0" applyNumberFormat="1" applyFont="1" applyFill="1" applyBorder="1"/>
    <xf numFmtId="0" fontId="10" fillId="0" borderId="9" xfId="0" applyFont="1" applyFill="1" applyBorder="1"/>
    <xf numFmtId="1" fontId="0" fillId="0" borderId="0" xfId="0" applyNumberFormat="1"/>
    <xf numFmtId="1" fontId="10" fillId="0" borderId="22" xfId="0" applyNumberFormat="1" applyFont="1" applyFill="1" applyBorder="1"/>
    <xf numFmtId="0" fontId="10" fillId="0" borderId="13" xfId="0" applyFont="1" applyBorder="1"/>
    <xf numFmtId="0" fontId="10" fillId="0" borderId="22" xfId="0" applyNumberFormat="1" applyFont="1" applyFill="1" applyBorder="1"/>
    <xf numFmtId="0" fontId="10" fillId="0" borderId="13" xfId="0" applyFont="1" applyFill="1" applyBorder="1"/>
    <xf numFmtId="1" fontId="0" fillId="0" borderId="23" xfId="0" applyNumberFormat="1" applyFill="1" applyBorder="1"/>
    <xf numFmtId="0" fontId="0" fillId="0" borderId="16" xfId="0" applyBorder="1"/>
    <xf numFmtId="3" fontId="0" fillId="7" borderId="31" xfId="0" applyNumberFormat="1" applyFill="1" applyBorder="1"/>
    <xf numFmtId="0" fontId="0" fillId="0" borderId="32" xfId="0" applyFill="1" applyBorder="1"/>
    <xf numFmtId="3" fontId="0" fillId="0" borderId="25" xfId="0" applyNumberFormat="1" applyFill="1" applyBorder="1"/>
    <xf numFmtId="3" fontId="16" fillId="10" borderId="3" xfId="0" applyNumberFormat="1" applyFont="1" applyFill="1" applyBorder="1"/>
    <xf numFmtId="3" fontId="0" fillId="7" borderId="33" xfId="0" applyNumberFormat="1" applyFill="1" applyBorder="1"/>
    <xf numFmtId="0" fontId="0" fillId="0" borderId="23" xfId="0" applyFill="1" applyBorder="1"/>
    <xf numFmtId="3" fontId="0" fillId="0" borderId="24" xfId="0" applyNumberFormat="1" applyFill="1" applyBorder="1"/>
    <xf numFmtId="3" fontId="0" fillId="0" borderId="34" xfId="0" applyNumberFormat="1" applyFill="1" applyBorder="1"/>
    <xf numFmtId="3" fontId="16" fillId="10" borderId="4" xfId="0" applyNumberFormat="1" applyFont="1" applyFill="1" applyBorder="1"/>
    <xf numFmtId="0" fontId="0" fillId="0" borderId="22" xfId="0" applyFill="1" applyBorder="1"/>
    <xf numFmtId="3" fontId="0" fillId="0" borderId="14" xfId="0" applyNumberFormat="1" applyFill="1" applyBorder="1"/>
    <xf numFmtId="3" fontId="16" fillId="10" borderId="5" xfId="0" applyNumberFormat="1" applyFont="1" applyFill="1" applyBorder="1"/>
    <xf numFmtId="0" fontId="0" fillId="0" borderId="35" xfId="0" applyFill="1" applyBorder="1"/>
    <xf numFmtId="3" fontId="0" fillId="0" borderId="36" xfId="0" applyNumberFormat="1" applyFill="1" applyBorder="1"/>
    <xf numFmtId="3" fontId="16" fillId="10" borderId="6" xfId="0" applyNumberFormat="1" applyFont="1" applyFill="1" applyBorder="1"/>
    <xf numFmtId="0" fontId="0" fillId="0" borderId="20" xfId="0" applyFill="1" applyBorder="1"/>
    <xf numFmtId="3" fontId="0" fillId="0" borderId="37" xfId="0" applyNumberFormat="1" applyFill="1" applyBorder="1"/>
    <xf numFmtId="3" fontId="0" fillId="9" borderId="38" xfId="0" applyNumberFormat="1" applyFill="1" applyBorder="1"/>
    <xf numFmtId="3" fontId="0" fillId="10" borderId="38" xfId="0" applyNumberFormat="1" applyFill="1" applyBorder="1"/>
    <xf numFmtId="0" fontId="0" fillId="0" borderId="10" xfId="0" applyBorder="1" applyAlignment="1">
      <alignment horizontal="center" wrapText="1"/>
    </xf>
    <xf numFmtId="0" fontId="0" fillId="0" borderId="11" xfId="0" applyFill="1" applyBorder="1"/>
    <xf numFmtId="0" fontId="10" fillId="0" borderId="39" xfId="0" applyFont="1" applyBorder="1"/>
    <xf numFmtId="0" fontId="10" fillId="4" borderId="5" xfId="0" applyFont="1" applyFill="1" applyBorder="1" applyAlignment="1">
      <alignment wrapText="1"/>
    </xf>
    <xf numFmtId="0" fontId="10" fillId="0" borderId="5" xfId="0" applyFont="1" applyBorder="1"/>
    <xf numFmtId="0" fontId="10" fillId="0" borderId="5" xfId="0" applyFont="1" applyFill="1" applyBorder="1"/>
    <xf numFmtId="0" fontId="0" fillId="0" borderId="5" xfId="0" applyBorder="1" applyAlignment="1">
      <alignment horizontal="center" wrapText="1"/>
    </xf>
    <xf numFmtId="0" fontId="0" fillId="0" borderId="5" xfId="0" applyFill="1" applyBorder="1" applyAlignment="1">
      <alignment wrapText="1"/>
    </xf>
    <xf numFmtId="0" fontId="10" fillId="0" borderId="40" xfId="0" applyFont="1" applyBorder="1"/>
    <xf numFmtId="0" fontId="10" fillId="4" borderId="5" xfId="0" applyFont="1" applyFill="1" applyBorder="1"/>
    <xf numFmtId="0" fontId="10" fillId="0" borderId="41" xfId="0" applyFont="1" applyBorder="1"/>
    <xf numFmtId="0" fontId="10" fillId="0" borderId="42" xfId="0" applyFont="1" applyBorder="1"/>
    <xf numFmtId="0" fontId="0" fillId="0" borderId="43" xfId="0" applyBorder="1" applyAlignment="1">
      <alignment horizontal="center" wrapText="1"/>
    </xf>
    <xf numFmtId="0" fontId="0" fillId="0" borderId="3" xfId="0" applyFill="1" applyBorder="1"/>
    <xf numFmtId="0" fontId="0" fillId="0" borderId="14" xfId="0" applyBorder="1" applyAlignment="1">
      <alignment horizontal="center" wrapText="1"/>
    </xf>
    <xf numFmtId="0" fontId="0" fillId="0" borderId="5" xfId="0" applyFill="1" applyBorder="1"/>
    <xf numFmtId="3" fontId="10" fillId="10" borderId="5" xfId="0" applyNumberFormat="1" applyFont="1" applyFill="1" applyBorder="1"/>
    <xf numFmtId="0" fontId="0" fillId="0" borderId="36" xfId="0" applyBorder="1" applyAlignment="1">
      <alignment horizontal="center" wrapText="1"/>
    </xf>
    <xf numFmtId="0" fontId="0" fillId="0" borderId="6" xfId="0" applyBorder="1" applyAlignment="1">
      <alignment wrapText="1"/>
    </xf>
    <xf numFmtId="3" fontId="10" fillId="11" borderId="6" xfId="0" applyNumberFormat="1" applyFont="1" applyFill="1" applyBorder="1"/>
    <xf numFmtId="2" fontId="0" fillId="0" borderId="5" xfId="0" applyNumberFormat="1" applyBorder="1"/>
    <xf numFmtId="0" fontId="0" fillId="0" borderId="9" xfId="0" applyBorder="1"/>
    <xf numFmtId="0" fontId="0" fillId="0" borderId="13" xfId="0" applyBorder="1"/>
    <xf numFmtId="0" fontId="0" fillId="0" borderId="17" xfId="0" applyBorder="1" applyAlignment="1">
      <alignment horizontal="center" wrapText="1"/>
    </xf>
    <xf numFmtId="0" fontId="0" fillId="0" borderId="18" xfId="0" applyBorder="1"/>
    <xf numFmtId="0" fontId="0" fillId="0" borderId="0" xfId="0" applyBorder="1" applyAlignment="1">
      <alignment horizontal="center" wrapText="1"/>
    </xf>
    <xf numFmtId="3" fontId="0" fillId="0" borderId="0" xfId="0" applyNumberFormat="1" applyFill="1" applyBorder="1"/>
    <xf numFmtId="3" fontId="0" fillId="0" borderId="0" xfId="0" applyNumberFormat="1" applyBorder="1"/>
    <xf numFmtId="3" fontId="0" fillId="7" borderId="0" xfId="0" applyNumberFormat="1" applyFill="1" applyBorder="1"/>
    <xf numFmtId="3" fontId="12" fillId="0" borderId="5" xfId="0" applyNumberFormat="1" applyFont="1" applyFill="1" applyBorder="1"/>
    <xf numFmtId="0" fontId="0" fillId="13" borderId="5" xfId="0" applyFill="1" applyBorder="1"/>
    <xf numFmtId="0" fontId="19" fillId="0" borderId="0" xfId="24" applyAlignment="1">
      <alignment wrapText="1"/>
    </xf>
    <xf numFmtId="0" fontId="20" fillId="0" borderId="0" xfId="24" applyFont="1" applyAlignment="1">
      <alignment horizontal="center" wrapText="1"/>
    </xf>
    <xf numFmtId="0" fontId="19" fillId="0" borderId="5" xfId="24" applyBorder="1" applyAlignment="1">
      <alignment wrapText="1"/>
    </xf>
    <xf numFmtId="0" fontId="19" fillId="14" borderId="5" xfId="24" applyFill="1" applyBorder="1" applyAlignment="1">
      <alignment wrapText="1"/>
    </xf>
    <xf numFmtId="0" fontId="19" fillId="15" borderId="5" xfId="24" applyFill="1" applyBorder="1" applyAlignment="1">
      <alignment wrapText="1"/>
    </xf>
    <xf numFmtId="0" fontId="21" fillId="0" borderId="5" xfId="24" applyFont="1" applyBorder="1" applyAlignment="1">
      <alignment wrapText="1"/>
    </xf>
    <xf numFmtId="0" fontId="19" fillId="0" borderId="5" xfId="24" applyFill="1" applyBorder="1" applyAlignment="1">
      <alignment wrapText="1"/>
    </xf>
    <xf numFmtId="0" fontId="19" fillId="16" borderId="5" xfId="24" applyFill="1" applyBorder="1" applyAlignment="1">
      <alignment wrapText="1"/>
    </xf>
    <xf numFmtId="0" fontId="22" fillId="0" borderId="5" xfId="24" applyFont="1" applyFill="1" applyBorder="1" applyAlignment="1">
      <alignment wrapText="1"/>
    </xf>
    <xf numFmtId="0" fontId="22" fillId="15" borderId="5" xfId="24" applyFont="1" applyFill="1" applyBorder="1" applyAlignment="1">
      <alignment wrapText="1"/>
    </xf>
    <xf numFmtId="0" fontId="19" fillId="0" borderId="0" xfId="24" applyFill="1" applyAlignment="1">
      <alignment wrapText="1"/>
    </xf>
    <xf numFmtId="0" fontId="21" fillId="0" borderId="5" xfId="24" applyFont="1" applyFill="1" applyBorder="1" applyAlignment="1">
      <alignment wrapText="1"/>
    </xf>
    <xf numFmtId="0" fontId="19" fillId="0" borderId="7" xfId="24" applyFill="1" applyBorder="1" applyAlignment="1">
      <alignment wrapText="1"/>
    </xf>
    <xf numFmtId="0" fontId="21" fillId="17" borderId="5" xfId="24" applyFont="1" applyFill="1" applyBorder="1" applyAlignment="1">
      <alignment wrapText="1"/>
    </xf>
    <xf numFmtId="0" fontId="21" fillId="0" borderId="0" xfId="24" applyFont="1" applyBorder="1" applyAlignment="1">
      <alignment wrapText="1"/>
    </xf>
    <xf numFmtId="0" fontId="21" fillId="0" borderId="0" xfId="24" applyFont="1" applyAlignment="1">
      <alignment wrapText="1"/>
    </xf>
    <xf numFmtId="0" fontId="19" fillId="7" borderId="5" xfId="24" applyFill="1" applyBorder="1" applyAlignment="1">
      <alignment wrapText="1"/>
    </xf>
    <xf numFmtId="0" fontId="19" fillId="0" borderId="5" xfId="24" applyBorder="1" applyAlignment="1">
      <alignment horizontal="left" wrapText="1"/>
    </xf>
    <xf numFmtId="0" fontId="20" fillId="0" borderId="5" xfId="24" applyFont="1" applyBorder="1" applyAlignment="1">
      <alignment wrapText="1"/>
    </xf>
    <xf numFmtId="0" fontId="20" fillId="0" borderId="0" xfId="24" applyFont="1" applyAlignment="1">
      <alignment wrapText="1"/>
    </xf>
    <xf numFmtId="0" fontId="19" fillId="18" borderId="5" xfId="24" applyFill="1" applyBorder="1" applyAlignment="1">
      <alignment wrapText="1"/>
    </xf>
    <xf numFmtId="0" fontId="19" fillId="18" borderId="7" xfId="24" applyFill="1" applyBorder="1" applyAlignment="1">
      <alignment wrapText="1"/>
    </xf>
    <xf numFmtId="0" fontId="19" fillId="7" borderId="0" xfId="24" applyFill="1" applyBorder="1" applyAlignment="1">
      <alignment wrapText="1"/>
    </xf>
    <xf numFmtId="0" fontId="19" fillId="0" borderId="5" xfId="24" applyFill="1" applyBorder="1" applyAlignment="1">
      <alignment horizontal="center" wrapText="1"/>
    </xf>
    <xf numFmtId="0" fontId="21" fillId="17" borderId="7" xfId="24" applyFont="1" applyFill="1" applyBorder="1" applyAlignment="1">
      <alignment wrapText="1"/>
    </xf>
    <xf numFmtId="0" fontId="21" fillId="7" borderId="0" xfId="24" applyFont="1" applyFill="1" applyBorder="1" applyAlignment="1">
      <alignment wrapText="1"/>
    </xf>
    <xf numFmtId="0" fontId="19" fillId="0" borderId="6" xfId="24" applyFill="1" applyBorder="1" applyAlignment="1">
      <alignment horizontal="center" vertical="center" wrapText="1"/>
    </xf>
    <xf numFmtId="164" fontId="4" fillId="0" borderId="0" xfId="23" applyFont="1"/>
    <xf numFmtId="0" fontId="3" fillId="0" borderId="5" xfId="0" applyFont="1" applyFill="1" applyBorder="1" applyAlignment="1">
      <alignment horizontal="left" wrapText="1"/>
    </xf>
    <xf numFmtId="2" fontId="6" fillId="0" borderId="5" xfId="0" applyNumberFormat="1" applyFont="1" applyFill="1" applyBorder="1" applyAlignment="1">
      <alignment horizontal="center"/>
    </xf>
    <xf numFmtId="2" fontId="3" fillId="0" borderId="5" xfId="0" applyNumberFormat="1" applyFont="1" applyFill="1" applyBorder="1" applyAlignment="1">
      <alignment horizontal="center"/>
    </xf>
    <xf numFmtId="164" fontId="6" fillId="0" borderId="5" xfId="23" applyFont="1" applyFill="1" applyBorder="1" applyAlignment="1">
      <alignment horizontal="center"/>
    </xf>
    <xf numFmtId="164" fontId="4" fillId="0" borderId="0" xfId="0" applyNumberFormat="1" applyFont="1"/>
    <xf numFmtId="164" fontId="1" fillId="19" borderId="5" xfId="0" applyNumberFormat="1" applyFont="1" applyFill="1" applyBorder="1"/>
    <xf numFmtId="164" fontId="1" fillId="19" borderId="0" xfId="0" applyNumberFormat="1" applyFont="1" applyFill="1"/>
    <xf numFmtId="164" fontId="1" fillId="0" borderId="6" xfId="0" applyNumberFormat="1" applyFont="1" applyFill="1" applyBorder="1"/>
    <xf numFmtId="164" fontId="1" fillId="19" borderId="5" xfId="23" applyFont="1" applyFill="1" applyBorder="1"/>
    <xf numFmtId="0" fontId="3" fillId="2" borderId="5" xfId="0" applyFont="1" applyFill="1" applyBorder="1" applyAlignment="1">
      <alignment horizontal="center"/>
    </xf>
    <xf numFmtId="2" fontId="6" fillId="4" borderId="5" xfId="0" applyNumberFormat="1" applyFont="1" applyFill="1" applyBorder="1" applyAlignment="1">
      <alignment horizontal="center"/>
    </xf>
    <xf numFmtId="164" fontId="6" fillId="4" borderId="5" xfId="23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0" fontId="1" fillId="0" borderId="7" xfId="0" applyFont="1" applyBorder="1"/>
    <xf numFmtId="0" fontId="1" fillId="0" borderId="0" xfId="0" applyFont="1" applyAlignment="1">
      <alignment horizontal="center"/>
    </xf>
    <xf numFmtId="2" fontId="3" fillId="5" borderId="5" xfId="0" applyNumberFormat="1" applyFont="1" applyFill="1" applyBorder="1" applyAlignment="1">
      <alignment horizontal="center"/>
    </xf>
    <xf numFmtId="43" fontId="1" fillId="0" borderId="0" xfId="0" applyNumberFormat="1" applyFont="1"/>
    <xf numFmtId="0" fontId="1" fillId="20" borderId="5" xfId="0" applyFont="1" applyFill="1" applyBorder="1" applyAlignment="1">
      <alignment horizontal="center" wrapText="1"/>
    </xf>
    <xf numFmtId="0" fontId="1" fillId="20" borderId="5" xfId="0" applyFont="1" applyFill="1" applyBorder="1"/>
    <xf numFmtId="0" fontId="1" fillId="20" borderId="5" xfId="0" applyFont="1" applyFill="1" applyBorder="1" applyAlignment="1">
      <alignment horizontal="center"/>
    </xf>
    <xf numFmtId="0" fontId="1" fillId="20" borderId="5" xfId="0" applyFont="1" applyFill="1" applyBorder="1" applyAlignment="1">
      <alignment wrapText="1"/>
    </xf>
    <xf numFmtId="0" fontId="1" fillId="20" borderId="6" xfId="0" applyFont="1" applyFill="1" applyBorder="1"/>
    <xf numFmtId="164" fontId="26" fillId="10" borderId="5" xfId="0" applyNumberFormat="1" applyFont="1" applyFill="1" applyBorder="1" applyAlignment="1">
      <alignment horizontal="right"/>
    </xf>
    <xf numFmtId="164" fontId="1" fillId="10" borderId="5" xfId="23" applyFont="1" applyFill="1" applyBorder="1"/>
    <xf numFmtId="164" fontId="26" fillId="0" borderId="5" xfId="0" applyNumberFormat="1" applyFont="1" applyBorder="1" applyAlignment="1">
      <alignment horizontal="right"/>
    </xf>
    <xf numFmtId="164" fontId="4" fillId="0" borderId="5" xfId="23" applyFont="1" applyBorder="1"/>
    <xf numFmtId="0" fontId="26" fillId="3" borderId="5" xfId="0" applyFont="1" applyFill="1" applyBorder="1" applyAlignment="1">
      <alignment horizontal="right"/>
    </xf>
    <xf numFmtId="164" fontId="1" fillId="3" borderId="5" xfId="23" applyFont="1" applyFill="1" applyBorder="1"/>
    <xf numFmtId="164" fontId="1" fillId="3" borderId="5" xfId="0" applyNumberFormat="1" applyFont="1" applyFill="1" applyBorder="1"/>
    <xf numFmtId="0" fontId="26" fillId="0" borderId="5" xfId="0" applyFont="1" applyBorder="1" applyAlignment="1">
      <alignment horizontal="right"/>
    </xf>
    <xf numFmtId="164" fontId="1" fillId="21" borderId="5" xfId="23" applyFont="1" applyFill="1" applyBorder="1"/>
    <xf numFmtId="167" fontId="1" fillId="5" borderId="0" xfId="23" applyNumberFormat="1" applyFont="1" applyFill="1" applyAlignment="1">
      <alignment horizontal="left"/>
    </xf>
    <xf numFmtId="167" fontId="1" fillId="0" borderId="0" xfId="23" applyNumberFormat="1" applyFont="1" applyFill="1" applyAlignment="1">
      <alignment horizontal="left"/>
    </xf>
    <xf numFmtId="167" fontId="1" fillId="0" borderId="0" xfId="23" applyNumberFormat="1" applyFont="1" applyAlignment="1">
      <alignment horizontal="left"/>
    </xf>
    <xf numFmtId="164" fontId="26" fillId="0" borderId="0" xfId="0" applyNumberFormat="1" applyFont="1"/>
    <xf numFmtId="2" fontId="6" fillId="5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3" fillId="0" borderId="5" xfId="0" applyFont="1" applyBorder="1"/>
    <xf numFmtId="164" fontId="3" fillId="0" borderId="7" xfId="0" applyNumberFormat="1" applyFont="1" applyBorder="1"/>
    <xf numFmtId="0" fontId="3" fillId="0" borderId="0" xfId="0" applyFont="1"/>
    <xf numFmtId="164" fontId="3" fillId="0" borderId="7" xfId="23" applyFont="1" applyBorder="1"/>
    <xf numFmtId="164" fontId="3" fillId="0" borderId="5" xfId="23" applyFont="1" applyBorder="1"/>
    <xf numFmtId="2" fontId="23" fillId="4" borderId="5" xfId="0" applyNumberFormat="1" applyFont="1" applyFill="1" applyBorder="1" applyAlignment="1">
      <alignment horizontal="center"/>
    </xf>
    <xf numFmtId="164" fontId="23" fillId="4" borderId="1" xfId="23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wrapText="1"/>
    </xf>
    <xf numFmtId="0" fontId="26" fillId="0" borderId="0" xfId="0" applyFont="1"/>
    <xf numFmtId="164" fontId="26" fillId="0" borderId="0" xfId="23" applyFont="1"/>
    <xf numFmtId="164" fontId="1" fillId="22" borderId="5" xfId="0" applyNumberFormat="1" applyFont="1" applyFill="1" applyBorder="1"/>
    <xf numFmtId="164" fontId="0" fillId="22" borderId="5" xfId="23" applyFont="1" applyFill="1" applyBorder="1"/>
    <xf numFmtId="0" fontId="1" fillId="22" borderId="5" xfId="0" applyFont="1" applyFill="1" applyBorder="1"/>
    <xf numFmtId="0" fontId="3" fillId="2" borderId="6" xfId="0" applyFont="1" applyFill="1" applyBorder="1" applyAlignment="1">
      <alignment horizontal="center"/>
    </xf>
    <xf numFmtId="0" fontId="1" fillId="6" borderId="6" xfId="0" applyFont="1" applyFill="1" applyBorder="1"/>
    <xf numFmtId="0" fontId="3" fillId="0" borderId="6" xfId="0" applyFont="1" applyFill="1" applyBorder="1" applyAlignment="1">
      <alignment horizontal="left" wrapText="1"/>
    </xf>
    <xf numFmtId="2" fontId="6" fillId="4" borderId="6" xfId="0" applyNumberFormat="1" applyFont="1" applyFill="1" applyBorder="1" applyAlignment="1">
      <alignment horizontal="center"/>
    </xf>
    <xf numFmtId="2" fontId="3" fillId="3" borderId="6" xfId="0" applyNumberFormat="1" applyFont="1" applyFill="1" applyBorder="1" applyAlignment="1">
      <alignment horizontal="center"/>
    </xf>
    <xf numFmtId="164" fontId="6" fillId="4" borderId="6" xfId="23" applyFont="1" applyFill="1" applyBorder="1" applyAlignment="1">
      <alignment horizontal="center"/>
    </xf>
    <xf numFmtId="164" fontId="0" fillId="0" borderId="6" xfId="23" applyFont="1" applyFill="1" applyBorder="1"/>
    <xf numFmtId="0" fontId="3" fillId="0" borderId="6" xfId="0" applyFont="1" applyBorder="1" applyAlignment="1">
      <alignment horizontal="left" wrapText="1"/>
    </xf>
    <xf numFmtId="164" fontId="0" fillId="0" borderId="6" xfId="23" applyFont="1" applyBorder="1"/>
    <xf numFmtId="0" fontId="3" fillId="5" borderId="3" xfId="0" applyFont="1" applyFill="1" applyBorder="1" applyAlignment="1">
      <alignment horizontal="left" wrapText="1"/>
    </xf>
    <xf numFmtId="164" fontId="6" fillId="5" borderId="3" xfId="23" applyFont="1" applyFill="1" applyBorder="1" applyAlignment="1">
      <alignment horizontal="center"/>
    </xf>
    <xf numFmtId="164" fontId="1" fillId="5" borderId="3" xfId="0" applyNumberFormat="1" applyFont="1" applyFill="1" applyBorder="1"/>
    <xf numFmtId="164" fontId="0" fillId="5" borderId="3" xfId="23" applyFont="1" applyFill="1" applyBorder="1"/>
    <xf numFmtId="0" fontId="3" fillId="0" borderId="3" xfId="0" applyFont="1" applyFill="1" applyBorder="1" applyAlignment="1">
      <alignment horizontal="left" wrapText="1"/>
    </xf>
    <xf numFmtId="164" fontId="0" fillId="0" borderId="3" xfId="23" applyFont="1" applyFill="1" applyBorder="1"/>
    <xf numFmtId="0" fontId="3" fillId="22" borderId="5" xfId="0" applyFont="1" applyFill="1" applyBorder="1" applyAlignment="1">
      <alignment horizontal="left" wrapText="1"/>
    </xf>
    <xf numFmtId="2" fontId="6" fillId="22" borderId="5" xfId="0" applyNumberFormat="1" applyFont="1" applyFill="1" applyBorder="1" applyAlignment="1">
      <alignment horizontal="center"/>
    </xf>
    <xf numFmtId="2" fontId="3" fillId="22" borderId="5" xfId="0" applyNumberFormat="1" applyFont="1" applyFill="1" applyBorder="1" applyAlignment="1">
      <alignment horizontal="center"/>
    </xf>
    <xf numFmtId="164" fontId="6" fillId="22" borderId="5" xfId="23" applyFont="1" applyFill="1" applyBorder="1" applyAlignment="1">
      <alignment horizontal="center"/>
    </xf>
    <xf numFmtId="164" fontId="1" fillId="22" borderId="5" xfId="23" applyFont="1" applyFill="1" applyBorder="1" applyAlignment="1">
      <alignment horizontal="left"/>
    </xf>
    <xf numFmtId="167" fontId="1" fillId="22" borderId="5" xfId="23" applyNumberFormat="1" applyFont="1" applyFill="1" applyBorder="1" applyAlignment="1">
      <alignment horizontal="left"/>
    </xf>
    <xf numFmtId="164" fontId="1" fillId="22" borderId="5" xfId="23" applyFont="1" applyFill="1" applyBorder="1" applyAlignment="1">
      <alignment horizontal="center"/>
    </xf>
    <xf numFmtId="0" fontId="3" fillId="3" borderId="5" xfId="0" applyFont="1" applyFill="1" applyBorder="1" applyAlignment="1">
      <alignment horizontal="left" wrapText="1"/>
    </xf>
    <xf numFmtId="164" fontId="6" fillId="5" borderId="5" xfId="23" applyFont="1" applyFill="1" applyBorder="1" applyAlignment="1">
      <alignment horizontal="center"/>
    </xf>
    <xf numFmtId="0" fontId="1" fillId="0" borderId="0" xfId="0" applyFont="1" applyBorder="1"/>
    <xf numFmtId="164" fontId="1" fillId="21" borderId="0" xfId="0" applyNumberFormat="1" applyFont="1" applyFill="1" applyBorder="1"/>
    <xf numFmtId="164" fontId="1" fillId="0" borderId="0" xfId="23" applyFont="1" applyBorder="1"/>
    <xf numFmtId="164" fontId="1" fillId="0" borderId="0" xfId="23" applyFont="1" applyBorder="1" applyAlignment="1">
      <alignment horizontal="center"/>
    </xf>
    <xf numFmtId="0" fontId="3" fillId="7" borderId="1" xfId="0" applyFont="1" applyFill="1" applyBorder="1" applyAlignment="1">
      <alignment horizontal="left" wrapText="1"/>
    </xf>
    <xf numFmtId="0" fontId="1" fillId="7" borderId="0" xfId="0" applyFont="1" applyFill="1"/>
    <xf numFmtId="2" fontId="24" fillId="5" borderId="3" xfId="0" applyNumberFormat="1" applyFont="1" applyFill="1" applyBorder="1" applyAlignment="1">
      <alignment horizontal="center"/>
    </xf>
    <xf numFmtId="2" fontId="25" fillId="5" borderId="3" xfId="0" applyNumberFormat="1" applyFont="1" applyFill="1" applyBorder="1" applyAlignment="1">
      <alignment horizontal="center"/>
    </xf>
    <xf numFmtId="164" fontId="0" fillId="7" borderId="5" xfId="23" applyFont="1" applyFill="1" applyBorder="1"/>
    <xf numFmtId="164" fontId="1" fillId="7" borderId="0" xfId="23" applyFont="1" applyFill="1" applyAlignment="1">
      <alignment horizontal="center"/>
    </xf>
    <xf numFmtId="164" fontId="1" fillId="7" borderId="0" xfId="0" applyNumberFormat="1" applyFont="1" applyFill="1"/>
    <xf numFmtId="167" fontId="1" fillId="7" borderId="0" xfId="23" applyNumberFormat="1" applyFont="1" applyFill="1" applyAlignment="1">
      <alignment horizontal="left"/>
    </xf>
    <xf numFmtId="2" fontId="4" fillId="0" borderId="5" xfId="0" applyNumberFormat="1" applyFont="1" applyBorder="1" applyAlignment="1">
      <alignment horizontal="center"/>
    </xf>
    <xf numFmtId="2" fontId="1" fillId="22" borderId="5" xfId="0" applyNumberFormat="1" applyFont="1" applyFill="1" applyBorder="1" applyAlignment="1">
      <alignment horizontal="center"/>
    </xf>
    <xf numFmtId="2" fontId="1" fillId="5" borderId="3" xfId="0" applyNumberFormat="1" applyFont="1" applyFill="1" applyBorder="1" applyAlignment="1">
      <alignment horizontal="center"/>
    </xf>
    <xf numFmtId="2" fontId="1" fillId="0" borderId="5" xfId="0" applyNumberFormat="1" applyFont="1" applyFill="1" applyBorder="1" applyAlignment="1">
      <alignment horizontal="center"/>
    </xf>
    <xf numFmtId="2" fontId="1" fillId="0" borderId="6" xfId="0" applyNumberFormat="1" applyFont="1" applyFill="1" applyBorder="1" applyAlignment="1">
      <alignment horizontal="center"/>
    </xf>
    <xf numFmtId="2" fontId="1" fillId="0" borderId="3" xfId="0" applyNumberFormat="1" applyFont="1" applyFill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7" borderId="5" xfId="0" applyNumberFormat="1" applyFont="1" applyFill="1" applyBorder="1" applyAlignment="1">
      <alignment horizontal="center"/>
    </xf>
    <xf numFmtId="164" fontId="1" fillId="0" borderId="0" xfId="23" applyFont="1" applyFill="1"/>
    <xf numFmtId="0" fontId="3" fillId="23" borderId="5" xfId="0" applyFont="1" applyFill="1" applyBorder="1" applyAlignment="1">
      <alignment horizontal="left" wrapText="1"/>
    </xf>
    <xf numFmtId="4" fontId="3" fillId="0" borderId="5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center"/>
    </xf>
    <xf numFmtId="4" fontId="1" fillId="19" borderId="5" xfId="0" applyNumberFormat="1" applyFont="1" applyFill="1" applyBorder="1" applyAlignment="1">
      <alignment horizontal="center"/>
    </xf>
    <xf numFmtId="4" fontId="1" fillId="0" borderId="5" xfId="0" applyNumberFormat="1" applyFont="1" applyFill="1" applyBorder="1" applyAlignment="1">
      <alignment horizontal="center"/>
    </xf>
    <xf numFmtId="4" fontId="1" fillId="0" borderId="0" xfId="0" applyNumberFormat="1" applyFont="1" applyBorder="1" applyAlignment="1">
      <alignment horizontal="center"/>
    </xf>
    <xf numFmtId="4" fontId="1" fillId="0" borderId="5" xfId="23" applyNumberFormat="1" applyFont="1" applyFill="1" applyBorder="1" applyAlignment="1">
      <alignment horizontal="center"/>
    </xf>
    <xf numFmtId="4" fontId="1" fillId="0" borderId="5" xfId="23" applyNumberFormat="1" applyFont="1" applyBorder="1" applyAlignment="1">
      <alignment horizontal="center"/>
    </xf>
    <xf numFmtId="4" fontId="1" fillId="0" borderId="0" xfId="23" applyNumberFormat="1" applyFont="1" applyBorder="1" applyAlignment="1">
      <alignment horizontal="center"/>
    </xf>
    <xf numFmtId="4" fontId="1" fillId="0" borderId="0" xfId="0" applyNumberFormat="1" applyFont="1" applyAlignment="1">
      <alignment horizontal="center"/>
    </xf>
    <xf numFmtId="0" fontId="3" fillId="5" borderId="5" xfId="0" applyFont="1" applyFill="1" applyBorder="1" applyAlignment="1">
      <alignment horizontal="left" wrapText="1"/>
    </xf>
    <xf numFmtId="4" fontId="1" fillId="5" borderId="5" xfId="0" applyNumberFormat="1" applyFont="1" applyFill="1" applyBorder="1" applyAlignment="1">
      <alignment horizontal="center"/>
    </xf>
    <xf numFmtId="168" fontId="1" fillId="0" borderId="0" xfId="0" applyNumberFormat="1" applyFont="1"/>
    <xf numFmtId="168" fontId="1" fillId="0" borderId="0" xfId="0" applyNumberFormat="1" applyFont="1" applyFill="1" applyAlignment="1">
      <alignment horizontal="center"/>
    </xf>
    <xf numFmtId="168" fontId="1" fillId="5" borderId="0" xfId="23" applyNumberFormat="1" applyFont="1" applyFill="1" applyAlignment="1">
      <alignment horizontal="center"/>
    </xf>
    <xf numFmtId="168" fontId="1" fillId="0" borderId="0" xfId="0" applyNumberFormat="1" applyFont="1" applyAlignment="1">
      <alignment horizontal="center"/>
    </xf>
    <xf numFmtId="168" fontId="1" fillId="0" borderId="0" xfId="23" applyNumberFormat="1" applyFont="1" applyAlignment="1">
      <alignment horizontal="center"/>
    </xf>
    <xf numFmtId="168" fontId="1" fillId="5" borderId="0" xfId="0" applyNumberFormat="1" applyFont="1" applyFill="1" applyAlignment="1">
      <alignment horizontal="center"/>
    </xf>
    <xf numFmtId="168" fontId="1" fillId="19" borderId="5" xfId="0" applyNumberFormat="1" applyFont="1" applyFill="1" applyBorder="1" applyAlignment="1">
      <alignment horizontal="center"/>
    </xf>
    <xf numFmtId="168" fontId="1" fillId="19" borderId="0" xfId="0" applyNumberFormat="1" applyFont="1" applyFill="1" applyAlignment="1">
      <alignment horizontal="center"/>
    </xf>
    <xf numFmtId="168" fontId="0" fillId="0" borderId="0" xfId="0" applyNumberFormat="1" applyFont="1" applyAlignment="1">
      <alignment horizontal="center" vertical="center"/>
    </xf>
    <xf numFmtId="168" fontId="0" fillId="0" borderId="0" xfId="23" applyNumberFormat="1" applyFont="1" applyAlignment="1">
      <alignment horizontal="center" vertical="center"/>
    </xf>
    <xf numFmtId="168" fontId="0" fillId="4" borderId="5" xfId="0" applyNumberFormat="1" applyFont="1" applyFill="1" applyBorder="1" applyAlignment="1">
      <alignment horizontal="center" vertical="center"/>
    </xf>
    <xf numFmtId="164" fontId="0" fillId="5" borderId="5" xfId="23" applyNumberFormat="1" applyFont="1" applyFill="1" applyBorder="1"/>
    <xf numFmtId="169" fontId="1" fillId="0" borderId="0" xfId="0" applyNumberFormat="1" applyFont="1" applyFill="1" applyAlignment="1">
      <alignment horizontal="center"/>
    </xf>
    <xf numFmtId="170" fontId="1" fillId="0" borderId="0" xfId="0" applyNumberFormat="1" applyFont="1" applyFill="1"/>
    <xf numFmtId="170" fontId="1" fillId="22" borderId="5" xfId="0" applyNumberFormat="1" applyFont="1" applyFill="1" applyBorder="1"/>
    <xf numFmtId="170" fontId="1" fillId="5" borderId="0" xfId="0" applyNumberFormat="1" applyFont="1" applyFill="1"/>
    <xf numFmtId="170" fontId="1" fillId="7" borderId="0" xfId="0" applyNumberFormat="1" applyFont="1" applyFill="1"/>
    <xf numFmtId="170" fontId="1" fillId="20" borderId="5" xfId="0" applyNumberFormat="1" applyFont="1" applyFill="1" applyBorder="1"/>
    <xf numFmtId="170" fontId="1" fillId="0" borderId="5" xfId="0" applyNumberFormat="1" applyFont="1" applyBorder="1"/>
    <xf numFmtId="170" fontId="1" fillId="4" borderId="0" xfId="0" applyNumberFormat="1" applyFont="1" applyFill="1"/>
    <xf numFmtId="0" fontId="3" fillId="7" borderId="5" xfId="0" applyFont="1" applyFill="1" applyBorder="1" applyAlignment="1">
      <alignment horizontal="left" wrapText="1"/>
    </xf>
    <xf numFmtId="2" fontId="3" fillId="7" borderId="5" xfId="0" applyNumberFormat="1" applyFont="1" applyFill="1" applyBorder="1" applyAlignment="1">
      <alignment horizontal="center"/>
    </xf>
    <xf numFmtId="4" fontId="1" fillId="7" borderId="5" xfId="0" applyNumberFormat="1" applyFont="1" applyFill="1" applyBorder="1" applyAlignment="1">
      <alignment horizontal="center"/>
    </xf>
    <xf numFmtId="164" fontId="1" fillId="7" borderId="5" xfId="23" applyFont="1" applyFill="1" applyBorder="1"/>
    <xf numFmtId="168" fontId="1" fillId="7" borderId="0" xfId="0" applyNumberFormat="1" applyFont="1" applyFill="1" applyAlignment="1">
      <alignment horizontal="center"/>
    </xf>
    <xf numFmtId="167" fontId="1" fillId="0" borderId="5" xfId="0" applyNumberFormat="1" applyFont="1" applyBorder="1"/>
    <xf numFmtId="167" fontId="1" fillId="0" borderId="0" xfId="0" applyNumberFormat="1" applyFont="1"/>
    <xf numFmtId="167" fontId="1" fillId="0" borderId="0" xfId="0" applyNumberFormat="1" applyFont="1" applyFill="1"/>
    <xf numFmtId="164" fontId="27" fillId="0" borderId="0" xfId="23" applyFont="1" applyAlignment="1">
      <alignment horizontal="right"/>
    </xf>
    <xf numFmtId="164" fontId="4" fillId="24" borderId="5" xfId="23" applyFont="1" applyFill="1" applyBorder="1"/>
    <xf numFmtId="164" fontId="28" fillId="24" borderId="0" xfId="23" applyFont="1" applyFill="1"/>
    <xf numFmtId="164" fontId="1" fillId="24" borderId="5" xfId="23" applyFont="1" applyFill="1" applyBorder="1" applyAlignment="1">
      <alignment horizontal="center"/>
    </xf>
    <xf numFmtId="164" fontId="1" fillId="24" borderId="5" xfId="23" applyFont="1" applyFill="1" applyBorder="1"/>
    <xf numFmtId="164" fontId="1" fillId="19" borderId="8" xfId="0" applyNumberFormat="1" applyFont="1" applyFill="1" applyBorder="1"/>
    <xf numFmtId="164" fontId="1" fillId="0" borderId="8" xfId="23" applyFont="1" applyFill="1" applyBorder="1"/>
    <xf numFmtId="164" fontId="1" fillId="5" borderId="8" xfId="23" applyFont="1" applyFill="1" applyBorder="1"/>
    <xf numFmtId="164" fontId="1" fillId="4" borderId="8" xfId="23" applyFont="1" applyFill="1" applyBorder="1"/>
    <xf numFmtId="167" fontId="1" fillId="0" borderId="5" xfId="0" applyNumberFormat="1" applyFont="1" applyFill="1" applyBorder="1"/>
    <xf numFmtId="167" fontId="1" fillId="5" borderId="5" xfId="0" applyNumberFormat="1" applyFont="1" applyFill="1" applyBorder="1"/>
    <xf numFmtId="167" fontId="1" fillId="7" borderId="5" xfId="0" applyNumberFormat="1" applyFont="1" applyFill="1" applyBorder="1"/>
    <xf numFmtId="164" fontId="1" fillId="7" borderId="8" xfId="23" applyFont="1" applyFill="1" applyBorder="1"/>
    <xf numFmtId="164" fontId="28" fillId="0" borderId="5" xfId="23" applyFont="1" applyBorder="1"/>
    <xf numFmtId="164" fontId="3" fillId="0" borderId="5" xfId="0" applyNumberFormat="1" applyFont="1" applyBorder="1"/>
    <xf numFmtId="2" fontId="4" fillId="0" borderId="5" xfId="0" applyNumberFormat="1" applyFont="1" applyFill="1" applyBorder="1" applyAlignment="1">
      <alignment horizontal="center"/>
    </xf>
    <xf numFmtId="2" fontId="24" fillId="4" borderId="3" xfId="0" applyNumberFormat="1" applyFont="1" applyFill="1" applyBorder="1" applyAlignment="1">
      <alignment horizontal="center"/>
    </xf>
    <xf numFmtId="164" fontId="6" fillId="4" borderId="3" xfId="23" applyFont="1" applyFill="1" applyBorder="1" applyAlignment="1">
      <alignment horizontal="center"/>
    </xf>
    <xf numFmtId="2" fontId="25" fillId="3" borderId="3" xfId="0" applyNumberFormat="1" applyFont="1" applyFill="1" applyBorder="1" applyAlignment="1">
      <alignment horizontal="center"/>
    </xf>
    <xf numFmtId="2" fontId="6" fillId="5" borderId="1" xfId="0" applyNumberFormat="1" applyFont="1" applyFill="1" applyBorder="1" applyAlignment="1">
      <alignment horizontal="center"/>
    </xf>
    <xf numFmtId="2" fontId="3" fillId="5" borderId="1" xfId="0" applyNumberFormat="1" applyFont="1" applyFill="1" applyBorder="1" applyAlignment="1">
      <alignment horizontal="center"/>
    </xf>
    <xf numFmtId="164" fontId="6" fillId="5" borderId="1" xfId="23" applyFont="1" applyFill="1" applyBorder="1" applyAlignment="1">
      <alignment horizontal="center"/>
    </xf>
    <xf numFmtId="2" fontId="1" fillId="5" borderId="5" xfId="0" applyNumberFormat="1" applyFont="1" applyFill="1" applyBorder="1" applyAlignment="1">
      <alignment horizontal="center"/>
    </xf>
    <xf numFmtId="164" fontId="1" fillId="25" borderId="3" xfId="0" applyNumberFormat="1" applyFont="1" applyFill="1" applyBorder="1"/>
    <xf numFmtId="164" fontId="1" fillId="25" borderId="5" xfId="0" applyNumberFormat="1" applyFont="1" applyFill="1" applyBorder="1"/>
    <xf numFmtId="164" fontId="1" fillId="25" borderId="6" xfId="0" applyNumberFormat="1" applyFont="1" applyFill="1" applyBorder="1"/>
    <xf numFmtId="171" fontId="3" fillId="0" borderId="5" xfId="23" applyNumberFormat="1" applyFont="1" applyFill="1" applyBorder="1" applyAlignment="1">
      <alignment horizontal="center" vertical="center"/>
    </xf>
    <xf numFmtId="164" fontId="9" fillId="0" borderId="0" xfId="23" applyFont="1" applyFill="1"/>
    <xf numFmtId="2" fontId="6" fillId="5" borderId="3" xfId="0" applyNumberFormat="1" applyFont="1" applyFill="1" applyBorder="1" applyAlignment="1">
      <alignment horizontal="center"/>
    </xf>
    <xf numFmtId="2" fontId="3" fillId="5" borderId="3" xfId="0" applyNumberFormat="1" applyFont="1" applyFill="1" applyBorder="1" applyAlignment="1">
      <alignment horizontal="center"/>
    </xf>
    <xf numFmtId="164" fontId="0" fillId="5" borderId="3" xfId="23" applyNumberFormat="1" applyFont="1" applyFill="1" applyBorder="1"/>
    <xf numFmtId="168" fontId="1" fillId="0" borderId="0" xfId="23" applyNumberFormat="1" applyFont="1" applyFill="1" applyAlignment="1">
      <alignment horizontal="center"/>
    </xf>
    <xf numFmtId="0" fontId="3" fillId="26" borderId="5" xfId="0" applyFont="1" applyFill="1" applyBorder="1" applyAlignment="1">
      <alignment horizontal="left" wrapText="1"/>
    </xf>
    <xf numFmtId="4" fontId="1" fillId="5" borderId="0" xfId="0" applyNumberFormat="1" applyFont="1" applyFill="1" applyAlignment="1">
      <alignment horizontal="center"/>
    </xf>
    <xf numFmtId="164" fontId="0" fillId="0" borderId="5" xfId="23" applyNumberFormat="1" applyFont="1" applyFill="1" applyBorder="1"/>
    <xf numFmtId="164" fontId="1" fillId="0" borderId="5" xfId="23" applyNumberFormat="1" applyFont="1" applyFill="1" applyBorder="1"/>
    <xf numFmtId="169" fontId="1" fillId="0" borderId="0" xfId="23" applyNumberFormat="1" applyFont="1" applyFill="1" applyAlignment="1">
      <alignment horizontal="center"/>
    </xf>
    <xf numFmtId="165" fontId="1" fillId="5" borderId="5" xfId="0" applyNumberFormat="1" applyFont="1" applyFill="1" applyBorder="1"/>
    <xf numFmtId="0" fontId="3" fillId="2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5" xfId="0" applyFont="1" applyBorder="1" applyAlignment="1">
      <alignment horizontal="center" wrapText="1"/>
    </xf>
    <xf numFmtId="0" fontId="13" fillId="0" borderId="13" xfId="0" applyFont="1" applyBorder="1" applyAlignment="1">
      <alignment horizontal="center" wrapText="1"/>
    </xf>
    <xf numFmtId="0" fontId="13" fillId="0" borderId="16" xfId="0" applyFont="1" applyBorder="1" applyAlignment="1">
      <alignment horizontal="center" wrapText="1"/>
    </xf>
    <xf numFmtId="0" fontId="13" fillId="0" borderId="20" xfId="0" applyFont="1" applyBorder="1" applyAlignment="1">
      <alignment horizontal="center" wrapText="1"/>
    </xf>
    <xf numFmtId="0" fontId="13" fillId="0" borderId="22" xfId="0" applyFont="1" applyBorder="1" applyAlignment="1">
      <alignment horizontal="center" wrapText="1"/>
    </xf>
    <xf numFmtId="0" fontId="13" fillId="0" borderId="23" xfId="0" applyFont="1" applyBorder="1" applyAlignment="1">
      <alignment horizontal="center" wrapText="1"/>
    </xf>
    <xf numFmtId="0" fontId="21" fillId="17" borderId="7" xfId="24" applyFont="1" applyFill="1" applyBorder="1" applyAlignment="1">
      <alignment horizontal="center" wrapText="1"/>
    </xf>
    <xf numFmtId="0" fontId="21" fillId="17" borderId="8" xfId="24" applyFont="1" applyFill="1" applyBorder="1" applyAlignment="1">
      <alignment horizontal="center" wrapText="1"/>
    </xf>
    <xf numFmtId="0" fontId="19" fillId="0" borderId="6" xfId="24" applyFill="1" applyBorder="1" applyAlignment="1">
      <alignment horizontal="center" vertical="center" wrapText="1"/>
    </xf>
    <xf numFmtId="0" fontId="19" fillId="0" borderId="4" xfId="24" applyFill="1" applyBorder="1" applyAlignment="1">
      <alignment horizontal="center" vertical="center" wrapText="1"/>
    </xf>
    <xf numFmtId="0" fontId="19" fillId="0" borderId="4" xfId="24" applyBorder="1" applyAlignment="1">
      <alignment horizontal="center" wrapText="1"/>
    </xf>
    <xf numFmtId="0" fontId="19" fillId="0" borderId="39" xfId="24" applyFill="1" applyBorder="1" applyAlignment="1">
      <alignment horizontal="center" vertical="center" wrapText="1"/>
    </xf>
    <xf numFmtId="0" fontId="19" fillId="0" borderId="30" xfId="24" applyFill="1" applyBorder="1" applyAlignment="1">
      <alignment horizontal="center" vertical="center" wrapText="1"/>
    </xf>
    <xf numFmtId="0" fontId="19" fillId="0" borderId="44" xfId="24" applyFill="1" applyBorder="1" applyAlignment="1">
      <alignment horizontal="center" vertical="center" wrapText="1"/>
    </xf>
    <xf numFmtId="0" fontId="20" fillId="0" borderId="0" xfId="24" applyFont="1" applyAlignment="1">
      <alignment horizontal="center" wrapText="1"/>
    </xf>
    <xf numFmtId="0" fontId="19" fillId="0" borderId="39" xfId="24" applyBorder="1" applyAlignment="1">
      <alignment horizontal="center" vertical="center" wrapText="1"/>
    </xf>
    <xf numFmtId="0" fontId="19" fillId="0" borderId="30" xfId="24" applyBorder="1" applyAlignment="1">
      <alignment horizontal="center" vertical="center" wrapText="1"/>
    </xf>
    <xf numFmtId="0" fontId="19" fillId="0" borderId="44" xfId="24" applyBorder="1" applyAlignment="1">
      <alignment horizontal="center" vertical="center" wrapText="1"/>
    </xf>
    <xf numFmtId="0" fontId="20" fillId="0" borderId="0" xfId="24" applyFont="1" applyAlignment="1">
      <alignment wrapText="1"/>
    </xf>
    <xf numFmtId="0" fontId="19" fillId="0" borderId="0" xfId="24" applyAlignment="1">
      <alignment wrapText="1"/>
    </xf>
    <xf numFmtId="0" fontId="19" fillId="0" borderId="3" xfId="24" applyBorder="1" applyAlignment="1">
      <alignment horizontal="center" wrapText="1"/>
    </xf>
  </cellXfs>
  <cellStyles count="32"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Гиперссылка" xfId="13" builtinId="8" hidden="1"/>
    <cellStyle name="Гиперссылка" xfId="15" builtinId="8" hidden="1"/>
    <cellStyle name="Гиперссылка" xfId="17" builtinId="8" hidden="1"/>
    <cellStyle name="Гиперссылка" xfId="19" builtinId="8" hidden="1"/>
    <cellStyle name="Гиперссылка" xfId="21" builtinId="8" hidden="1"/>
    <cellStyle name="Обычный" xfId="0" builtinId="0"/>
    <cellStyle name="Обычный 2" xfId="24"/>
    <cellStyle name="Обычный 2 2" xfId="25"/>
    <cellStyle name="Обычный 3" xfId="1"/>
    <cellStyle name="Обычный 4" xfId="2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  <cellStyle name="Открывавшаяся гиперссылка" xfId="14" builtinId="9" hidden="1"/>
    <cellStyle name="Открывавшаяся гиперссылка" xfId="16" builtinId="9" hidden="1"/>
    <cellStyle name="Открывавшаяся гиперссылка" xfId="18" builtinId="9" hidden="1"/>
    <cellStyle name="Открывавшаяся гиперссылка" xfId="20" builtinId="9" hidden="1"/>
    <cellStyle name="Открывавшаяся гиперссылка" xfId="22" builtinId="9" hidden="1"/>
    <cellStyle name="Финансовый" xfId="23" builtinId="3"/>
    <cellStyle name="Финансовый 2" xfId="26"/>
    <cellStyle name="Финансовый 3" xfId="27"/>
    <cellStyle name="Финансовый 4" xfId="28"/>
    <cellStyle name="Финансовый 5" xfId="29"/>
    <cellStyle name="Финансовый 6" xfId="30"/>
    <cellStyle name="Финансовый 7" xfId="31"/>
  </cellStyles>
  <dxfs count="0"/>
  <tableStyles count="0" defaultTableStyle="TableStyleMedium2" defaultPivotStyle="PivotStyleLight16"/>
  <colors>
    <mruColors>
      <color rgb="FF00FFFF"/>
      <color rgb="FFCC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54;&#1059;%20&#8470;%201%20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1;&#1057;&#1064;%20&#8470;%205%20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3;&#1057;&#1064;%20&#8470;%206%20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57;&#1064;%20&#8470;%208%20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54;&#1064;%20&#8470;%209%20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0;&#1057;&#1064;%20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0;&#1062;%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54;&#1059;%20&#8470;%203%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54;&#1059;%20&#8470;%204%20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54;&#1059;%20&#8470;%205%2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54;&#1059;%20&#8470;%208%20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3;&#1086;&#1088;&#1084;&#1072;&#1090;&#1080;&#1074;%202018/05.03.2018/&#1057;&#1042;&#1054;&#1044;%2030.01-05.03.2018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57;&#1064;%20&#8470;%201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57;&#1064;%20&#8470;%202%20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57;&#1064;%20&#8470;%203%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ля ФУ"/>
      <sheetName val="расчет свод"/>
      <sheetName val="НН 3-8 доу"/>
      <sheetName val="ИТОГО БНЗ"/>
    </sheetNames>
    <sheetDataSet>
      <sheetData sheetId="0" refreshError="1">
        <row r="6">
          <cell r="B6">
            <v>65752.286289088574</v>
          </cell>
        </row>
        <row r="9">
          <cell r="M9">
            <v>1286694</v>
          </cell>
        </row>
        <row r="10">
          <cell r="M10">
            <v>28144688.559999999</v>
          </cell>
        </row>
      </sheetData>
      <sheetData sheetId="1">
        <row r="5">
          <cell r="B5">
            <v>68170.043169230528</v>
          </cell>
        </row>
      </sheetData>
      <sheetData sheetId="2">
        <row r="8">
          <cell r="G8">
            <v>13.8031007751938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НН 3-8 дошк.гр."/>
      <sheetName val="НН присмотр дошк.гр. "/>
      <sheetName val="НН присмотр ГПД"/>
      <sheetName val="расчет по услугам"/>
      <sheetName val="ИТОГО БНЗ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6">
          <cell r="M16">
            <v>110483.34</v>
          </cell>
        </row>
        <row r="17">
          <cell r="M17">
            <v>32048889.920000002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расчет свод"/>
      <sheetName val="расчет по услугам"/>
      <sheetName val="для ФУ "/>
      <sheetName val="ИТОГО БНЗ"/>
      <sheetName val="НН 3-8 дошк.гр."/>
      <sheetName val="НН присмотр дошк.гр. "/>
      <sheetName val="НН присмотр ГПД"/>
    </sheetNames>
    <sheetDataSet>
      <sheetData sheetId="0" refreshError="1"/>
      <sheetData sheetId="1">
        <row r="16">
          <cell r="BA16">
            <v>0.12934640522875818</v>
          </cell>
        </row>
      </sheetData>
      <sheetData sheetId="2">
        <row r="6">
          <cell r="B6">
            <v>25.575447570268238</v>
          </cell>
        </row>
      </sheetData>
      <sheetData sheetId="3" refreshError="1"/>
      <sheetData sheetId="4">
        <row r="16">
          <cell r="M16">
            <v>350947.1</v>
          </cell>
        </row>
      </sheetData>
      <sheetData sheetId="5" refreshError="1"/>
      <sheetData sheetId="6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НН 3-8 дошк.гр."/>
      <sheetName val="НН присмотр дошк.гр. "/>
      <sheetName val="НН присмотр ГПД"/>
      <sheetName val="расчет по услугам"/>
      <sheetName val="ИТОГО БНЗ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6">
          <cell r="M16">
            <v>119690.29</v>
          </cell>
        </row>
        <row r="17">
          <cell r="M17">
            <v>26023731.620000001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НН 3-8 дошк.гр."/>
      <sheetName val="НН присмотр дошк.гр. "/>
      <sheetName val="НН присмотр ГПД"/>
      <sheetName val="расчет по услугам"/>
      <sheetName val="ИТОГО БНЗ"/>
    </sheetNames>
    <sheetDataSet>
      <sheetData sheetId="0"/>
      <sheetData sheetId="1"/>
      <sheetData sheetId="2"/>
      <sheetData sheetId="3"/>
      <sheetData sheetId="4">
        <row r="11">
          <cell r="M11">
            <v>12309871.699999999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НН физ.спорт ДЮСШ"/>
      <sheetName val="расчет гто"/>
      <sheetName val="расчет"/>
      <sheetName val="Для ФУ "/>
      <sheetName val="ИТОГО БНЗ"/>
    </sheetNames>
    <sheetDataSet>
      <sheetData sheetId="0"/>
      <sheetData sheetId="1"/>
      <sheetData sheetId="2">
        <row r="8">
          <cell r="B8" t="str">
            <v>Тренер- преподаватель</v>
          </cell>
        </row>
      </sheetData>
      <sheetData sheetId="3">
        <row r="5">
          <cell r="B5">
            <v>48.820501855947121</v>
          </cell>
        </row>
        <row r="8">
          <cell r="N8">
            <v>49680149.580000028</v>
          </cell>
        </row>
      </sheetData>
      <sheetData sheetId="4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натнорм физк-спорт"/>
      <sheetName val="натнорм соц-пед"/>
      <sheetName val="натнорм худож"/>
      <sheetName val="натнорм техническая"/>
      <sheetName val="натнорм естеств-научн"/>
      <sheetName val="натнорм тур-краев"/>
      <sheetName val="расчет по направ"/>
      <sheetName val="для фу "/>
      <sheetName val="ИТОГО БНЗ"/>
    </sheetNames>
    <sheetDataSet>
      <sheetData sheetId="0"/>
      <sheetData sheetId="1"/>
      <sheetData sheetId="2"/>
      <sheetData sheetId="3"/>
      <sheetData sheetId="4"/>
      <sheetData sheetId="5"/>
      <sheetData sheetId="6">
        <row r="11">
          <cell r="B11" t="str">
            <v>Педагог дополнительного образования</v>
          </cell>
        </row>
      </sheetData>
      <sheetData sheetId="7">
        <row r="5">
          <cell r="B5">
            <v>111.5821018599483</v>
          </cell>
        </row>
        <row r="14">
          <cell r="M14">
            <v>37414196.840000004</v>
          </cell>
        </row>
      </sheetData>
      <sheetData sheetId="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ля ФУ"/>
      <sheetName val="расчет свод"/>
    </sheetNames>
    <sheetDataSet>
      <sheetData sheetId="0">
        <row r="9">
          <cell r="M9">
            <v>908557.82</v>
          </cell>
        </row>
        <row r="10">
          <cell r="M10">
            <v>23122052.68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ля ФУ"/>
      <sheetName val="расчет свод"/>
    </sheetNames>
    <sheetDataSet>
      <sheetData sheetId="0">
        <row r="9">
          <cell r="M9">
            <v>855051.83</v>
          </cell>
        </row>
        <row r="10">
          <cell r="M10">
            <v>24571317.690000001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для ФУ"/>
      <sheetName val="расчет свод"/>
      <sheetName val="нат нормы 3-8"/>
      <sheetName val="НН присмотр ДОУ"/>
      <sheetName val="НН 1-3 доу"/>
      <sheetName val="для ФУ "/>
      <sheetName val="ИТОГО БНЗ"/>
      <sheetName val="К выр"/>
    </sheetNames>
    <sheetDataSet>
      <sheetData sheetId="0" refreshError="1">
        <row r="5">
          <cell r="B5">
            <v>72579.378205128189</v>
          </cell>
        </row>
        <row r="9">
          <cell r="M9">
            <v>1153119.3400000001</v>
          </cell>
        </row>
        <row r="10">
          <cell r="M10">
            <v>26420254.57</v>
          </cell>
        </row>
      </sheetData>
      <sheetData sheetId="1" refreshError="1"/>
      <sheetData sheetId="2" refreshError="1"/>
      <sheetData sheetId="3">
        <row r="7">
          <cell r="AF7">
            <v>133.54499999999999</v>
          </cell>
        </row>
      </sheetData>
      <sheetData sheetId="4">
        <row r="7">
          <cell r="B7">
            <v>28771.222111975032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для ФУ"/>
      <sheetName val="расчет свод"/>
    </sheetNames>
    <sheetDataSet>
      <sheetData sheetId="0">
        <row r="9">
          <cell r="M9">
            <v>1175696.26</v>
          </cell>
        </row>
        <row r="10">
          <cell r="M10">
            <v>32653079.32</v>
          </cell>
        </row>
      </sheetData>
      <sheetData sheetId="1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ИТОГО БНЗ шк 2017"/>
      <sheetName val="ИТОГО БНЗ доу 2017"/>
      <sheetName val="ИТОГО БНЗ допы"/>
      <sheetName val="получатели"/>
      <sheetName val="индивид обуч 16-17"/>
    </sheetNames>
    <sheetDataSet>
      <sheetData sheetId="0">
        <row r="31">
          <cell r="N31">
            <v>1672323.3093763031</v>
          </cell>
        </row>
      </sheetData>
      <sheetData sheetId="1">
        <row r="4">
          <cell r="T4">
            <v>7000058.2599999998</v>
          </cell>
        </row>
        <row r="5">
          <cell r="M5">
            <v>37</v>
          </cell>
        </row>
        <row r="6">
          <cell r="M6">
            <v>28</v>
          </cell>
        </row>
        <row r="7">
          <cell r="T7">
            <v>44798340.909999996</v>
          </cell>
        </row>
        <row r="8">
          <cell r="M8">
            <v>94</v>
          </cell>
        </row>
        <row r="9">
          <cell r="M9">
            <v>104</v>
          </cell>
        </row>
        <row r="10">
          <cell r="M10">
            <v>99</v>
          </cell>
        </row>
        <row r="11">
          <cell r="M11">
            <v>118</v>
          </cell>
        </row>
        <row r="12">
          <cell r="M12">
            <v>40</v>
          </cell>
        </row>
        <row r="16">
          <cell r="T16">
            <v>57554652.060000002</v>
          </cell>
        </row>
        <row r="17">
          <cell r="M17">
            <v>131</v>
          </cell>
        </row>
        <row r="18">
          <cell r="M18">
            <v>104</v>
          </cell>
        </row>
        <row r="19">
          <cell r="M19">
            <v>99</v>
          </cell>
        </row>
        <row r="20">
          <cell r="M20">
            <v>146</v>
          </cell>
        </row>
        <row r="21">
          <cell r="M21">
            <v>40</v>
          </cell>
        </row>
      </sheetData>
      <sheetData sheetId="2">
        <row r="17">
          <cell r="Q17">
            <v>-5971265.0919999965</v>
          </cell>
        </row>
      </sheetData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НН 3-8 дошк.гр."/>
      <sheetName val="НН присмотр дошк.гр. "/>
      <sheetName val="НН присмотр ГПД"/>
      <sheetName val="расчет по услугам"/>
      <sheetName val="ИТОГО БНЗ"/>
      <sheetName val="для ФУ"/>
      <sheetName val="НН осн на дому"/>
    </sheetNames>
    <sheetDataSet>
      <sheetData sheetId="0">
        <row r="10">
          <cell r="B10">
            <v>54722.194971259356</v>
          </cell>
        </row>
      </sheetData>
      <sheetData sheetId="1" refreshError="1"/>
      <sheetData sheetId="2">
        <row r="12">
          <cell r="BY12">
            <v>207.00750865051901</v>
          </cell>
        </row>
      </sheetData>
      <sheetData sheetId="3">
        <row r="10">
          <cell r="E10">
            <v>0</v>
          </cell>
        </row>
      </sheetData>
      <sheetData sheetId="4">
        <row r="5">
          <cell r="B5">
            <v>12552.080719999807</v>
          </cell>
        </row>
        <row r="15">
          <cell r="M15">
            <v>70720652.909999996</v>
          </cell>
        </row>
      </sheetData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расчет по услугам"/>
      <sheetName val="ИТОГО БНЗ"/>
    </sheetNames>
    <sheetDataSet>
      <sheetData sheetId="0">
        <row r="12">
          <cell r="X12" t="str">
            <v>Учитель</v>
          </cell>
        </row>
      </sheetData>
      <sheetData sheetId="1">
        <row r="7">
          <cell r="B7">
            <v>55958.002801786402</v>
          </cell>
        </row>
        <row r="15">
          <cell r="M15">
            <v>50766669.200000003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НН 3-8 дошк.гр."/>
      <sheetName val="НН присмотр дошк.гр. "/>
      <sheetName val="НН присмотр ГПД"/>
      <sheetName val="расчет по услугам"/>
      <sheetName val="ИТОГО БНЗ"/>
    </sheetNames>
    <sheetDataSet>
      <sheetData sheetId="0"/>
      <sheetData sheetId="1"/>
      <sheetData sheetId="2"/>
      <sheetData sheetId="3"/>
      <sheetData sheetId="4">
        <row r="16">
          <cell r="M16">
            <v>721391.25</v>
          </cell>
        </row>
        <row r="17">
          <cell r="M17">
            <v>49332258.039999999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42"/>
  <sheetViews>
    <sheetView zoomScaleSheetLayoutView="85" workbookViewId="0">
      <pane xSplit="1" ySplit="3" topLeftCell="S10" activePane="bottomRight" state="frozen"/>
      <selection pane="topRight" activeCell="B1" sqref="B1"/>
      <selection pane="bottomLeft" activeCell="A4" sqref="A4"/>
      <selection pane="bottomRight" activeCell="S17" sqref="S17:S21"/>
    </sheetView>
  </sheetViews>
  <sheetFormatPr defaultColWidth="8.85546875" defaultRowHeight="12.75"/>
  <cols>
    <col min="1" max="1" width="26.140625" style="1" customWidth="1"/>
    <col min="2" max="2" width="10.28515625" style="1" customWidth="1"/>
    <col min="3" max="3" width="13.140625" style="1" customWidth="1"/>
    <col min="4" max="4" width="12.28515625" style="1" customWidth="1"/>
    <col min="5" max="5" width="9.28515625" style="1" customWidth="1"/>
    <col min="6" max="9" width="8.85546875" style="1" customWidth="1"/>
    <col min="10" max="10" width="14.85546875" style="1" customWidth="1"/>
    <col min="11" max="11" width="19.42578125" style="1" customWidth="1"/>
    <col min="12" max="12" width="19" style="1" customWidth="1"/>
    <col min="13" max="15" width="18.28515625" style="1" customWidth="1"/>
    <col min="16" max="16" width="26" style="1" customWidth="1"/>
    <col min="17" max="17" width="18.85546875" style="1" customWidth="1"/>
    <col min="18" max="18" width="15.5703125" style="6" customWidth="1"/>
    <col min="19" max="19" width="11.140625" style="344" customWidth="1"/>
    <col min="20" max="20" width="22.7109375" style="1" customWidth="1"/>
    <col min="21" max="21" width="22.5703125" style="1" customWidth="1"/>
    <col min="22" max="22" width="26.5703125" style="1" customWidth="1"/>
    <col min="23" max="23" width="15.7109375" style="1" bestFit="1" customWidth="1"/>
    <col min="24" max="16384" width="8.85546875" style="1"/>
  </cols>
  <sheetData>
    <row r="1" spans="1:36" ht="70.5" customHeight="1">
      <c r="A1" s="397" t="s">
        <v>14</v>
      </c>
      <c r="B1" s="397" t="s">
        <v>11</v>
      </c>
      <c r="C1" s="397"/>
      <c r="D1" s="397"/>
      <c r="E1" s="397" t="s">
        <v>12</v>
      </c>
      <c r="F1" s="397"/>
      <c r="G1" s="397"/>
      <c r="H1" s="397"/>
      <c r="I1" s="397"/>
      <c r="J1" s="397"/>
      <c r="K1" s="397"/>
      <c r="L1" s="397" t="s">
        <v>13</v>
      </c>
      <c r="M1" s="397" t="s">
        <v>28</v>
      </c>
      <c r="N1" s="397" t="s">
        <v>29</v>
      </c>
      <c r="O1" s="397" t="s">
        <v>63</v>
      </c>
      <c r="P1" s="397" t="s">
        <v>14</v>
      </c>
      <c r="Q1" s="397" t="s">
        <v>50</v>
      </c>
      <c r="R1" s="397" t="s">
        <v>52</v>
      </c>
    </row>
    <row r="2" spans="1:36" ht="16.5" customHeight="1">
      <c r="A2" s="397"/>
      <c r="B2" s="51" t="s">
        <v>0</v>
      </c>
      <c r="C2" s="51" t="s">
        <v>10</v>
      </c>
      <c r="D2" s="51" t="s">
        <v>1</v>
      </c>
      <c r="E2" s="51" t="s">
        <v>2</v>
      </c>
      <c r="F2" s="51" t="s">
        <v>3</v>
      </c>
      <c r="G2" s="51" t="s">
        <v>4</v>
      </c>
      <c r="H2" s="51" t="s">
        <v>5</v>
      </c>
      <c r="I2" s="51" t="s">
        <v>6</v>
      </c>
      <c r="J2" s="51" t="s">
        <v>7</v>
      </c>
      <c r="K2" s="51" t="s">
        <v>8</v>
      </c>
      <c r="L2" s="397"/>
      <c r="M2" s="397"/>
      <c r="N2" s="397"/>
      <c r="O2" s="397"/>
      <c r="P2" s="397"/>
      <c r="Q2" s="397"/>
      <c r="R2" s="397"/>
      <c r="T2" s="7">
        <f>'ИТОГО БНЗ шк'!T64</f>
        <v>17686987.93</v>
      </c>
    </row>
    <row r="3" spans="1:36">
      <c r="A3" s="273">
        <v>1</v>
      </c>
      <c r="B3" s="273">
        <v>2</v>
      </c>
      <c r="C3" s="273">
        <v>3</v>
      </c>
      <c r="D3" s="273">
        <v>4</v>
      </c>
      <c r="E3" s="273">
        <v>5</v>
      </c>
      <c r="F3" s="273">
        <v>6</v>
      </c>
      <c r="G3" s="273">
        <v>7</v>
      </c>
      <c r="H3" s="273">
        <v>8</v>
      </c>
      <c r="I3" s="273">
        <v>9</v>
      </c>
      <c r="J3" s="273">
        <v>10</v>
      </c>
      <c r="K3" s="273">
        <v>11</v>
      </c>
      <c r="L3" s="273" t="s">
        <v>9</v>
      </c>
      <c r="M3" s="29"/>
      <c r="N3" s="29"/>
      <c r="O3" s="29"/>
      <c r="P3" s="273">
        <v>1</v>
      </c>
      <c r="Q3" s="274"/>
    </row>
    <row r="4" spans="1:36" s="272" customFormat="1" ht="40.5" customHeight="1">
      <c r="A4" s="288" t="s">
        <v>16</v>
      </c>
      <c r="B4" s="289"/>
      <c r="C4" s="290"/>
      <c r="D4" s="290"/>
      <c r="E4" s="289"/>
      <c r="F4" s="289"/>
      <c r="G4" s="290"/>
      <c r="H4" s="290"/>
      <c r="I4" s="290"/>
      <c r="J4" s="290"/>
      <c r="K4" s="290"/>
      <c r="L4" s="291">
        <f>B4+C4+D4+E4+F4+G4+H4+I4+J4+K4</f>
        <v>0</v>
      </c>
      <c r="M4" s="310">
        <f>M5+M6+M7+M8+M9</f>
        <v>98</v>
      </c>
      <c r="N4" s="271"/>
      <c r="O4" s="271"/>
      <c r="P4" s="288" t="s">
        <v>16</v>
      </c>
      <c r="S4" s="345"/>
      <c r="T4" s="270">
        <f>T5+T8</f>
        <v>6747347.6899999995</v>
      </c>
      <c r="V4" s="292"/>
    </row>
    <row r="5" spans="1:36" s="6" customFormat="1" ht="15">
      <c r="A5" s="286" t="s">
        <v>17</v>
      </c>
      <c r="B5" s="375">
        <v>101835.28580487806</v>
      </c>
      <c r="C5" s="377">
        <v>414.63414634146341</v>
      </c>
      <c r="D5" s="377">
        <v>457.31707317073176</v>
      </c>
      <c r="E5" s="375">
        <v>5459.5418699186903</v>
      </c>
      <c r="F5" s="375">
        <v>1934.187235772358</v>
      </c>
      <c r="G5" s="377">
        <v>0</v>
      </c>
      <c r="H5" s="377">
        <v>1028.2773983739837</v>
      </c>
      <c r="I5" s="377">
        <v>81.300813008130092</v>
      </c>
      <c r="J5" s="377">
        <v>16989.226069105669</v>
      </c>
      <c r="K5" s="377">
        <v>26485.946951219517</v>
      </c>
      <c r="L5" s="376">
        <v>154685.71736178861</v>
      </c>
      <c r="M5" s="314">
        <v>28</v>
      </c>
      <c r="N5" s="24">
        <f t="shared" ref="N5:N8" si="0">L5*M5</f>
        <v>4331200.0861300807</v>
      </c>
      <c r="O5" s="287"/>
      <c r="P5" s="286" t="s">
        <v>17</v>
      </c>
      <c r="Q5" s="382">
        <f>L8*M5</f>
        <v>3758451.8358189734</v>
      </c>
      <c r="S5" s="344">
        <v>1.1523894067324501</v>
      </c>
      <c r="T5" s="25">
        <f>ROUND(S5*Q5,2)</f>
        <v>4331200.08</v>
      </c>
      <c r="U5" s="25">
        <f>N5-T5</f>
        <v>6.1300806701183319E-3</v>
      </c>
      <c r="V5" s="254">
        <f>N5/T5</f>
        <v>1.0000000014153307</v>
      </c>
    </row>
    <row r="6" spans="1:36" s="6" customFormat="1" ht="15">
      <c r="A6" s="286" t="s">
        <v>20</v>
      </c>
      <c r="B6" s="375">
        <v>122179.0270000001</v>
      </c>
      <c r="C6" s="377">
        <v>837.76543209876547</v>
      </c>
      <c r="D6" s="377">
        <v>694.44444444444446</v>
      </c>
      <c r="E6" s="375">
        <v>13175.817222222227</v>
      </c>
      <c r="F6" s="375">
        <v>3017.8982098765428</v>
      </c>
      <c r="G6" s="377">
        <v>0</v>
      </c>
      <c r="H6" s="377">
        <v>1555.0953086419752</v>
      </c>
      <c r="I6" s="377">
        <v>123.45679012345678</v>
      </c>
      <c r="J6" s="377">
        <v>26400.357645432119</v>
      </c>
      <c r="K6" s="377">
        <v>26801.528086419752</v>
      </c>
      <c r="L6" s="376">
        <v>194785.39013925937</v>
      </c>
      <c r="M6" s="314">
        <v>12</v>
      </c>
      <c r="N6" s="24">
        <f t="shared" si="0"/>
        <v>2337424.6816711123</v>
      </c>
      <c r="O6" s="287"/>
      <c r="P6" s="22" t="s">
        <v>20</v>
      </c>
      <c r="Q6" s="382">
        <f>L8*M6</f>
        <v>1610765.0724938458</v>
      </c>
      <c r="S6" s="344">
        <v>1.45112699871938</v>
      </c>
      <c r="T6" s="25">
        <f t="shared" ref="T6:T9" si="1">ROUND(S6*Q6,2)</f>
        <v>2337424.69</v>
      </c>
      <c r="U6" s="25">
        <f t="shared" ref="U6:U9" si="2">N6-T6</f>
        <v>-8.3288876339793205E-3</v>
      </c>
      <c r="V6" s="254">
        <f t="shared" ref="V6:V9" si="3">N6/T6</f>
        <v>0.99999999643672466</v>
      </c>
    </row>
    <row r="7" spans="1:36" s="6" customFormat="1" ht="15">
      <c r="A7" s="286" t="s">
        <v>21</v>
      </c>
      <c r="B7" s="375">
        <v>91558.887732278425</v>
      </c>
      <c r="C7" s="377">
        <v>658.22784810126586</v>
      </c>
      <c r="D7" s="377">
        <v>712.02531645569627</v>
      </c>
      <c r="E7" s="375">
        <v>11646.513860759498</v>
      </c>
      <c r="F7" s="375">
        <v>4405.227468354431</v>
      </c>
      <c r="G7" s="377">
        <v>0</v>
      </c>
      <c r="H7" s="377">
        <v>1683.0096202531647</v>
      </c>
      <c r="I7" s="377">
        <v>126.58227848101268</v>
      </c>
      <c r="J7" s="377">
        <v>29596.214116708845</v>
      </c>
      <c r="K7" s="377">
        <v>27362.725696202535</v>
      </c>
      <c r="L7" s="376">
        <v>167749.41393759489</v>
      </c>
      <c r="M7" s="314">
        <v>20</v>
      </c>
      <c r="N7" s="24">
        <f t="shared" si="0"/>
        <v>3354988.2787518976</v>
      </c>
      <c r="O7" s="287"/>
      <c r="P7" s="2" t="s">
        <v>21</v>
      </c>
      <c r="Q7" s="382">
        <f>L8*M7</f>
        <v>2684608.4541564099</v>
      </c>
      <c r="S7" s="344">
        <v>1.2497123290928691</v>
      </c>
      <c r="T7" s="25">
        <f t="shared" si="1"/>
        <v>3354988.28</v>
      </c>
      <c r="U7" s="25">
        <f t="shared" si="2"/>
        <v>-1.2481021694839001E-3</v>
      </c>
      <c r="V7" s="254">
        <f t="shared" si="3"/>
        <v>0.99999999962798614</v>
      </c>
    </row>
    <row r="8" spans="1:36" s="6" customFormat="1" ht="15">
      <c r="A8" s="17" t="s">
        <v>18</v>
      </c>
      <c r="B8" s="378">
        <v>72579.378205128189</v>
      </c>
      <c r="C8" s="379">
        <v>673.07692307692309</v>
      </c>
      <c r="D8" s="379">
        <v>540.86538461538464</v>
      </c>
      <c r="E8" s="378">
        <v>8299.2494230769207</v>
      </c>
      <c r="F8" s="378">
        <v>2368.0281249999998</v>
      </c>
      <c r="G8" s="379">
        <v>0</v>
      </c>
      <c r="H8" s="379">
        <v>1216.1357692307695</v>
      </c>
      <c r="I8" s="379">
        <v>96.15384615384616</v>
      </c>
      <c r="J8" s="379">
        <v>22621.792579615369</v>
      </c>
      <c r="K8" s="379">
        <v>25835.742451923074</v>
      </c>
      <c r="L8" s="380">
        <v>134230.42270782049</v>
      </c>
      <c r="M8" s="381">
        <v>18</v>
      </c>
      <c r="N8" s="19">
        <f t="shared" si="0"/>
        <v>2416147.6087407689</v>
      </c>
      <c r="O8" s="19"/>
      <c r="P8" s="17" t="s">
        <v>18</v>
      </c>
      <c r="Q8" s="18">
        <f>L8*M8</f>
        <v>2416147.6087407689</v>
      </c>
      <c r="R8" s="21"/>
      <c r="S8" s="346">
        <v>0.99999999947882701</v>
      </c>
      <c r="T8" s="20">
        <f t="shared" si="1"/>
        <v>2416147.61</v>
      </c>
      <c r="U8" s="20">
        <f t="shared" si="2"/>
        <v>-1.2592310085892677E-3</v>
      </c>
      <c r="V8" s="253">
        <f t="shared" si="3"/>
        <v>0.99999999947882701</v>
      </c>
    </row>
    <row r="9" spans="1:36" s="6" customFormat="1" ht="15">
      <c r="A9" s="275" t="s">
        <v>285</v>
      </c>
      <c r="B9" s="276">
        <v>124230.32999999999</v>
      </c>
      <c r="C9" s="277">
        <v>791.66666666666674</v>
      </c>
      <c r="D9" s="277">
        <v>585.9375</v>
      </c>
      <c r="E9" s="276">
        <v>17567.206770833327</v>
      </c>
      <c r="F9" s="276">
        <v>3732.2484374999995</v>
      </c>
      <c r="G9" s="277">
        <v>0</v>
      </c>
      <c r="H9" s="277">
        <v>1434.8316666666665</v>
      </c>
      <c r="I9" s="277">
        <v>104.16666666666666</v>
      </c>
      <c r="J9" s="277">
        <v>35705.195655000025</v>
      </c>
      <c r="K9" s="277">
        <v>29469.502395833333</v>
      </c>
      <c r="L9" s="278">
        <v>213621.08575916669</v>
      </c>
      <c r="M9" s="313">
        <v>20</v>
      </c>
      <c r="N9" s="279">
        <f t="shared" ref="N9:N15" si="4">L9*M9</f>
        <v>4272421.7151833335</v>
      </c>
      <c r="O9" s="279"/>
      <c r="P9" s="275" t="s">
        <v>285</v>
      </c>
      <c r="Q9" s="384">
        <f>L8*M9</f>
        <v>2684608.4541564099</v>
      </c>
      <c r="S9" s="344">
        <v>1.5914505950330795</v>
      </c>
      <c r="T9" s="25">
        <f t="shared" si="1"/>
        <v>4272421.72</v>
      </c>
      <c r="U9" s="25">
        <f t="shared" si="2"/>
        <v>-4.8166662454605103E-3</v>
      </c>
      <c r="V9" s="254">
        <f t="shared" si="3"/>
        <v>0.99999999887261448</v>
      </c>
    </row>
    <row r="10" spans="1:36" s="272" customFormat="1" ht="39">
      <c r="A10" s="288" t="s">
        <v>19</v>
      </c>
      <c r="B10" s="289"/>
      <c r="C10" s="290"/>
      <c r="D10" s="290"/>
      <c r="E10" s="289"/>
      <c r="F10" s="289"/>
      <c r="G10" s="290"/>
      <c r="H10" s="290"/>
      <c r="I10" s="290"/>
      <c r="J10" s="290"/>
      <c r="K10" s="290"/>
      <c r="L10" s="291"/>
      <c r="M10" s="310">
        <f>SUM(M11:M15)</f>
        <v>385</v>
      </c>
      <c r="N10" s="271">
        <f t="shared" si="4"/>
        <v>0</v>
      </c>
      <c r="O10" s="271"/>
      <c r="P10" s="288" t="s">
        <v>19</v>
      </c>
      <c r="S10" s="345"/>
      <c r="T10" s="270">
        <f>SUM(T11:T15)</f>
        <v>57011784.879999995</v>
      </c>
      <c r="U10" s="270"/>
      <c r="V10" s="293"/>
    </row>
    <row r="11" spans="1:36" s="6" customFormat="1" ht="15">
      <c r="A11" s="282" t="s">
        <v>17</v>
      </c>
      <c r="B11" s="303">
        <v>65752.286289088574</v>
      </c>
      <c r="C11" s="304">
        <v>614.63414634146341</v>
      </c>
      <c r="D11" s="304">
        <v>457.31707317073176</v>
      </c>
      <c r="E11" s="303">
        <v>5459.5418699186903</v>
      </c>
      <c r="F11" s="303">
        <v>1934.187235772358</v>
      </c>
      <c r="G11" s="304">
        <v>0</v>
      </c>
      <c r="H11" s="304">
        <v>1028.2773983739837</v>
      </c>
      <c r="I11" s="304">
        <v>81.300813008130092</v>
      </c>
      <c r="J11" s="304">
        <v>16989.226069105669</v>
      </c>
      <c r="K11" s="304">
        <v>26485.946951219517</v>
      </c>
      <c r="L11" s="283">
        <v>118802.71784599913</v>
      </c>
      <c r="M11" s="311">
        <v>95</v>
      </c>
      <c r="N11" s="285">
        <f t="shared" si="4"/>
        <v>11286258.195369918</v>
      </c>
      <c r="O11" s="285"/>
      <c r="P11" s="282" t="s">
        <v>17</v>
      </c>
      <c r="Q11" s="284">
        <f>L11*M11</f>
        <v>11286258.195369918</v>
      </c>
      <c r="R11" s="37"/>
      <c r="S11" s="346">
        <v>0.99999999958975938</v>
      </c>
      <c r="T11" s="20">
        <f>ROUND(S11*Q11,2)</f>
        <v>11286258.189999999</v>
      </c>
      <c r="U11" s="20">
        <f t="shared" ref="U11:U21" si="5">N11-T11</f>
        <v>5.3699184209108353E-3</v>
      </c>
      <c r="V11" s="253">
        <f t="shared" ref="V11:V13" si="6">N11/T11</f>
        <v>1.0000000004757925</v>
      </c>
    </row>
    <row r="12" spans="1:36" ht="15">
      <c r="A12" s="2" t="s">
        <v>20</v>
      </c>
      <c r="B12" s="4">
        <v>76351.430086956563</v>
      </c>
      <c r="C12" s="3">
        <v>868.79441760601196</v>
      </c>
      <c r="D12" s="3">
        <v>694.44444444444434</v>
      </c>
      <c r="E12" s="4">
        <v>13175.817222222227</v>
      </c>
      <c r="F12" s="4">
        <v>3017.8982098765428</v>
      </c>
      <c r="G12" s="3">
        <v>0</v>
      </c>
      <c r="H12" s="3">
        <v>1555.0953086419752</v>
      </c>
      <c r="I12" s="3">
        <v>123.45679012345678</v>
      </c>
      <c r="J12" s="3">
        <v>26400.357645432119</v>
      </c>
      <c r="K12" s="3">
        <v>26801.528086419752</v>
      </c>
      <c r="L12" s="5">
        <v>148988.82221172308</v>
      </c>
      <c r="M12" s="315">
        <v>69</v>
      </c>
      <c r="N12" s="15">
        <f t="shared" si="4"/>
        <v>10280228.732608892</v>
      </c>
      <c r="O12" s="15"/>
      <c r="P12" s="2" t="s">
        <v>20</v>
      </c>
      <c r="Q12" s="383">
        <f>L11*M12</f>
        <v>8197387.5313739395</v>
      </c>
      <c r="R12" s="39"/>
      <c r="S12" s="344">
        <v>1.2540859749507161</v>
      </c>
      <c r="T12" s="7">
        <f>ROUND(S12*Q12,2)</f>
        <v>10280228.73</v>
      </c>
      <c r="U12" s="7">
        <f t="shared" si="5"/>
        <v>2.6088915765285492E-3</v>
      </c>
      <c r="V12" s="255">
        <f t="shared" si="6"/>
        <v>1.0000000002537777</v>
      </c>
    </row>
    <row r="13" spans="1:36" s="6" customFormat="1" ht="15">
      <c r="A13" s="22" t="s">
        <v>21</v>
      </c>
      <c r="B13" s="232">
        <v>92472.349921261484</v>
      </c>
      <c r="C13" s="38">
        <v>658.22784810126586</v>
      </c>
      <c r="D13" s="38">
        <v>712.02531645569627</v>
      </c>
      <c r="E13" s="232">
        <v>11646.513860759498</v>
      </c>
      <c r="F13" s="232">
        <v>4405.227468354431</v>
      </c>
      <c r="G13" s="38">
        <v>0</v>
      </c>
      <c r="H13" s="38">
        <v>1683.0096202531645</v>
      </c>
      <c r="I13" s="38">
        <v>126.58227848101265</v>
      </c>
      <c r="J13" s="38">
        <v>29596.214116708845</v>
      </c>
      <c r="K13" s="38">
        <v>27362.725696202531</v>
      </c>
      <c r="L13" s="233">
        <v>168662.87612657793</v>
      </c>
      <c r="M13" s="385">
        <v>59</v>
      </c>
      <c r="N13" s="24">
        <f t="shared" si="4"/>
        <v>9951109.6914680973</v>
      </c>
      <c r="O13" s="24"/>
      <c r="P13" s="22" t="s">
        <v>21</v>
      </c>
      <c r="Q13" s="383">
        <f>L11*M13</f>
        <v>7009360.3529139487</v>
      </c>
      <c r="R13" s="39"/>
      <c r="S13" s="344">
        <v>1.4196887011905583</v>
      </c>
      <c r="T13" s="25">
        <f>ROUND(S13*Q13,2)</f>
        <v>9951109.6999999993</v>
      </c>
      <c r="U13" s="25">
        <f t="shared" si="5"/>
        <v>-8.5319019854068756E-3</v>
      </c>
      <c r="V13" s="254">
        <f t="shared" si="6"/>
        <v>0.99999999914261806</v>
      </c>
    </row>
    <row r="14" spans="1:36" s="21" customFormat="1" ht="15">
      <c r="A14" s="22" t="s">
        <v>18</v>
      </c>
      <c r="B14" s="232">
        <v>75028.618515205715</v>
      </c>
      <c r="C14" s="38">
        <v>673.07692307692309</v>
      </c>
      <c r="D14" s="38">
        <v>540.86538461538464</v>
      </c>
      <c r="E14" s="232">
        <v>8299.2494230769189</v>
      </c>
      <c r="F14" s="232">
        <v>2368.0281249999998</v>
      </c>
      <c r="G14" s="38">
        <v>0</v>
      </c>
      <c r="H14" s="38">
        <v>1216.1357692307695</v>
      </c>
      <c r="I14" s="38">
        <v>96.15384615384616</v>
      </c>
      <c r="J14" s="38">
        <v>22621.792579615369</v>
      </c>
      <c r="K14" s="38">
        <v>25835.742451923074</v>
      </c>
      <c r="L14" s="233">
        <v>136679.66301789801</v>
      </c>
      <c r="M14" s="309">
        <v>86</v>
      </c>
      <c r="N14" s="24">
        <f t="shared" si="4"/>
        <v>11754451.01953923</v>
      </c>
      <c r="O14" s="24"/>
      <c r="P14" s="22" t="s">
        <v>18</v>
      </c>
      <c r="Q14" s="383">
        <f>L11*M14</f>
        <v>10217033.734755924</v>
      </c>
      <c r="R14" s="39"/>
      <c r="S14" s="344">
        <v>1.150475894488334</v>
      </c>
      <c r="T14" s="25">
        <f>ROUND(S14*Q14,2)</f>
        <v>11754451.029999999</v>
      </c>
      <c r="U14" s="25">
        <f>N14-T14</f>
        <v>-1.0460769757628441E-2</v>
      </c>
      <c r="V14" s="254">
        <f>N14/T14</f>
        <v>0.99999999911005888</v>
      </c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</row>
    <row r="15" spans="1:36" ht="15">
      <c r="A15" s="280" t="s">
        <v>285</v>
      </c>
      <c r="B15" s="276">
        <v>91395.260526315789</v>
      </c>
      <c r="C15" s="277">
        <v>791.66666666666674</v>
      </c>
      <c r="D15" s="277">
        <v>585.9375</v>
      </c>
      <c r="E15" s="276">
        <v>17567.206770833327</v>
      </c>
      <c r="F15" s="276">
        <v>3732.2484374999995</v>
      </c>
      <c r="G15" s="277">
        <v>0</v>
      </c>
      <c r="H15" s="277">
        <v>1434.8316666666665</v>
      </c>
      <c r="I15" s="277">
        <v>104.16666666666666</v>
      </c>
      <c r="J15" s="277">
        <v>35705.195655000025</v>
      </c>
      <c r="K15" s="277">
        <v>29469.502395833333</v>
      </c>
      <c r="L15" s="278">
        <v>180786.0162854825</v>
      </c>
      <c r="M15" s="316">
        <v>76</v>
      </c>
      <c r="N15" s="281">
        <f t="shared" si="4"/>
        <v>13739737.23769667</v>
      </c>
      <c r="O15" s="12"/>
      <c r="P15" s="280" t="s">
        <v>285</v>
      </c>
      <c r="Q15" s="384">
        <f>M15*L11</f>
        <v>9029006.5562959332</v>
      </c>
      <c r="R15" s="39"/>
      <c r="S15" s="344">
        <v>1.5217329997926892</v>
      </c>
      <c r="T15" s="7">
        <f>ROUND(S15*Q15,2)</f>
        <v>13739737.23</v>
      </c>
      <c r="U15" s="7">
        <f>N15-T15</f>
        <v>7.6966695487499237E-3</v>
      </c>
      <c r="V15" s="255">
        <f>N15/T15</f>
        <v>1.0000000005601759</v>
      </c>
    </row>
    <row r="16" spans="1:36" s="272" customFormat="1" ht="15">
      <c r="A16" s="288" t="s">
        <v>15</v>
      </c>
      <c r="B16" s="289"/>
      <c r="C16" s="290"/>
      <c r="D16" s="290"/>
      <c r="E16" s="289"/>
      <c r="F16" s="289"/>
      <c r="G16" s="290"/>
      <c r="H16" s="290"/>
      <c r="I16" s="290"/>
      <c r="J16" s="290"/>
      <c r="K16" s="290"/>
      <c r="L16" s="291"/>
      <c r="M16" s="310">
        <f>SUM(M17:M21)</f>
        <v>483</v>
      </c>
      <c r="N16" s="271"/>
      <c r="O16" s="271">
        <f>SUM(O17:O21)</f>
        <v>5379119.25</v>
      </c>
      <c r="P16" s="288" t="s">
        <v>15</v>
      </c>
      <c r="R16" s="294"/>
      <c r="S16" s="345"/>
      <c r="T16" s="270">
        <f>SUM(T17:T21)</f>
        <v>66566544.82</v>
      </c>
      <c r="U16" s="270"/>
      <c r="V16" s="293"/>
    </row>
    <row r="17" spans="1:23" s="6" customFormat="1" ht="15">
      <c r="A17" s="282" t="s">
        <v>17</v>
      </c>
      <c r="B17" s="387">
        <v>38107.317073170729</v>
      </c>
      <c r="C17" s="388">
        <v>713.08943089430886</v>
      </c>
      <c r="D17" s="388">
        <v>0</v>
      </c>
      <c r="E17" s="387">
        <v>5459.5418699186903</v>
      </c>
      <c r="F17" s="387">
        <v>1934.187235772358</v>
      </c>
      <c r="G17" s="388">
        <v>0</v>
      </c>
      <c r="H17" s="388">
        <v>133.96845528455287</v>
      </c>
      <c r="I17" s="388">
        <v>40.650406504065046</v>
      </c>
      <c r="J17" s="388">
        <v>39433.626044715427</v>
      </c>
      <c r="K17" s="388">
        <v>26485.946951219517</v>
      </c>
      <c r="L17" s="283">
        <v>112308.32746747966</v>
      </c>
      <c r="M17" s="311">
        <v>123</v>
      </c>
      <c r="N17" s="285">
        <f>L17*M17</f>
        <v>13813924.278499998</v>
      </c>
      <c r="O17" s="389">
        <f>'[1]для ФУ'!$M$9</f>
        <v>1286694</v>
      </c>
      <c r="P17" s="282" t="s">
        <v>17</v>
      </c>
      <c r="Q17" s="284">
        <f>L17*M17</f>
        <v>13813924.278499998</v>
      </c>
      <c r="R17" s="37"/>
      <c r="S17" s="346">
        <v>0.99999999989141386</v>
      </c>
      <c r="T17" s="20">
        <f>ROUND(S17*Q17,2)</f>
        <v>13813924.279999999</v>
      </c>
      <c r="U17" s="20">
        <f>N17-T17</f>
        <v>-1.5000011771917343E-3</v>
      </c>
      <c r="V17" s="253">
        <f>N17/T17</f>
        <v>0.99999999989141386</v>
      </c>
    </row>
    <row r="18" spans="1:23" s="6" customFormat="1" ht="15">
      <c r="A18" s="22" t="s">
        <v>20</v>
      </c>
      <c r="B18" s="4">
        <v>37613.333333333336</v>
      </c>
      <c r="C18" s="3">
        <v>925.92592592592587</v>
      </c>
      <c r="D18" s="3">
        <v>0</v>
      </c>
      <c r="E18" s="4">
        <v>13175.817222222227</v>
      </c>
      <c r="F18" s="4">
        <v>3017.8982098765428</v>
      </c>
      <c r="G18" s="3">
        <v>0</v>
      </c>
      <c r="H18" s="3">
        <v>197.07061728395058</v>
      </c>
      <c r="I18" s="3">
        <v>61.728395061728392</v>
      </c>
      <c r="J18" s="3">
        <v>59092.40297185196</v>
      </c>
      <c r="K18" s="3">
        <v>26816.528086419752</v>
      </c>
      <c r="L18" s="5">
        <v>140900.70476197542</v>
      </c>
      <c r="M18" s="312">
        <v>81</v>
      </c>
      <c r="N18" s="24">
        <f>L18*M18</f>
        <v>11412957.085720008</v>
      </c>
      <c r="O18" s="386">
        <f>'[2]для ФУ'!$M$9</f>
        <v>908557.82</v>
      </c>
      <c r="P18" s="22" t="s">
        <v>20</v>
      </c>
      <c r="Q18" s="383">
        <f>L17*M18</f>
        <v>9096974.5248658527</v>
      </c>
      <c r="R18" s="39"/>
      <c r="S18" s="344">
        <v>1.2545882216805426</v>
      </c>
      <c r="T18" s="25">
        <f>ROUND(S18*Q18,2)</f>
        <v>11412957.09</v>
      </c>
      <c r="U18" s="25">
        <f t="shared" si="5"/>
        <v>-4.2799916118383408E-3</v>
      </c>
      <c r="V18" s="254">
        <f>N18/T18</f>
        <v>0.99999999962498842</v>
      </c>
    </row>
    <row r="19" spans="1:23" ht="15">
      <c r="A19" s="2" t="s">
        <v>21</v>
      </c>
      <c r="B19" s="4">
        <v>43114.329113924046</v>
      </c>
      <c r="C19" s="3">
        <v>962.02531645569616</v>
      </c>
      <c r="D19" s="3">
        <v>0</v>
      </c>
      <c r="E19" s="4">
        <v>11646.513860759498</v>
      </c>
      <c r="F19" s="4">
        <v>4405.227468354431</v>
      </c>
      <c r="G19" s="3">
        <v>0</v>
      </c>
      <c r="H19" s="3">
        <v>290.6045569620253</v>
      </c>
      <c r="I19" s="3">
        <v>63.291139240506325</v>
      </c>
      <c r="J19" s="3">
        <v>65939.099933924052</v>
      </c>
      <c r="K19" s="3">
        <v>27000.067468354428</v>
      </c>
      <c r="L19" s="5">
        <v>153421.15885797469</v>
      </c>
      <c r="M19" s="315">
        <v>79</v>
      </c>
      <c r="N19" s="15">
        <f>L19*M19</f>
        <v>12120271.54978</v>
      </c>
      <c r="O19" s="15">
        <f>'[3]для ФУ'!$M$9</f>
        <v>855051.83</v>
      </c>
      <c r="P19" s="2" t="s">
        <v>21</v>
      </c>
      <c r="Q19" s="383">
        <f>L17*M19</f>
        <v>8872357.8699308932</v>
      </c>
      <c r="R19" s="39"/>
      <c r="S19" s="344">
        <v>1.3660710858792264</v>
      </c>
      <c r="T19" s="7">
        <f>ROUND(S19*Q19,2)</f>
        <v>12120271.550000001</v>
      </c>
      <c r="U19" s="7">
        <f>N19-T19</f>
        <v>-2.200007438659668E-4</v>
      </c>
      <c r="V19" s="255">
        <f>N19/T19</f>
        <v>0.99999999998184852</v>
      </c>
    </row>
    <row r="20" spans="1:23" s="6" customFormat="1" ht="15">
      <c r="A20" s="22" t="s">
        <v>18</v>
      </c>
      <c r="B20" s="232">
        <v>38332.107884615478</v>
      </c>
      <c r="C20" s="38">
        <v>529.71153846153845</v>
      </c>
      <c r="D20" s="38">
        <v>0</v>
      </c>
      <c r="E20" s="232">
        <v>8299.2494230769207</v>
      </c>
      <c r="F20" s="232">
        <v>2368.0281249999998</v>
      </c>
      <c r="G20" s="38">
        <v>0</v>
      </c>
      <c r="H20" s="38">
        <v>158.44346153846158</v>
      </c>
      <c r="I20" s="38">
        <v>48.07692307692308</v>
      </c>
      <c r="J20" s="38">
        <v>53413.787131923076</v>
      </c>
      <c r="K20" s="38">
        <v>25723.434759615382</v>
      </c>
      <c r="L20" s="233">
        <v>128872.83924730778</v>
      </c>
      <c r="M20" s="374">
        <v>104</v>
      </c>
      <c r="N20" s="24">
        <f>L20*M20</f>
        <v>13402775.281720009</v>
      </c>
      <c r="O20" s="24">
        <f>'[4]для ФУ'!$M$9</f>
        <v>1153119.3400000001</v>
      </c>
      <c r="P20" s="22" t="s">
        <v>18</v>
      </c>
      <c r="Q20" s="383">
        <f>L17*M20</f>
        <v>11680066.056617884</v>
      </c>
      <c r="R20" s="39"/>
      <c r="S20" s="344">
        <v>1.1474913937019298</v>
      </c>
      <c r="T20" s="25">
        <f>ROUND(S20*Q20,2)</f>
        <v>13402775.279999999</v>
      </c>
      <c r="U20" s="25">
        <f>N20-T20</f>
        <v>1.720009371638298E-3</v>
      </c>
      <c r="V20" s="254">
        <f>N20/T20</f>
        <v>1.0000000001283322</v>
      </c>
    </row>
    <row r="21" spans="1:23" s="21" customFormat="1" ht="15">
      <c r="A21" s="222" t="s">
        <v>285</v>
      </c>
      <c r="B21" s="264">
        <v>40362</v>
      </c>
      <c r="C21" s="38">
        <v>1310.4166666666667</v>
      </c>
      <c r="D21" s="38">
        <v>0</v>
      </c>
      <c r="E21" s="264">
        <v>17567.206770833327</v>
      </c>
      <c r="F21" s="264">
        <v>3732.2484374999995</v>
      </c>
      <c r="G21" s="38">
        <v>0</v>
      </c>
      <c r="H21" s="38">
        <v>288.99833333333328</v>
      </c>
      <c r="I21" s="38">
        <v>52.083333333333329</v>
      </c>
      <c r="J21" s="38">
        <v>73206.988095000022</v>
      </c>
      <c r="K21" s="38">
        <v>28236.481562499997</v>
      </c>
      <c r="L21" s="265">
        <v>164756.42319916669</v>
      </c>
      <c r="M21" s="317">
        <v>96</v>
      </c>
      <c r="N21" s="305">
        <f>L21*M21</f>
        <v>15816616.627120003</v>
      </c>
      <c r="O21" s="305">
        <f>'[5]для ФУ'!$M$9</f>
        <v>1175696.26</v>
      </c>
      <c r="P21" s="301" t="s">
        <v>285</v>
      </c>
      <c r="Q21" s="383">
        <f>L17*M21</f>
        <v>10781599.436878048</v>
      </c>
      <c r="R21" s="306"/>
      <c r="S21" s="344">
        <v>1.4670009505676835</v>
      </c>
      <c r="T21" s="307">
        <f>ROUND(S21*Q21,2)</f>
        <v>15816616.619999999</v>
      </c>
      <c r="U21" s="7">
        <f t="shared" si="5"/>
        <v>7.1200039237737656E-3</v>
      </c>
      <c r="V21" s="308">
        <f>N21/T21</f>
        <v>1.0000000004501597</v>
      </c>
    </row>
    <row r="22" spans="1:23" ht="15" customHeight="1">
      <c r="K22" s="398" t="s">
        <v>27</v>
      </c>
      <c r="L22" s="9" t="s">
        <v>24</v>
      </c>
      <c r="M22" s="315">
        <f>M4</f>
        <v>98</v>
      </c>
      <c r="N22" s="14">
        <f>SUM(N5:N9)</f>
        <v>16712182.370477192</v>
      </c>
      <c r="O22" s="14"/>
      <c r="P22" s="14"/>
      <c r="Q22" s="14">
        <f>SUM(Q5:Q9)</f>
        <v>13154581.425366407</v>
      </c>
      <c r="R22" s="302"/>
    </row>
    <row r="23" spans="1:23">
      <c r="K23" s="399"/>
      <c r="L23" s="10" t="s">
        <v>25</v>
      </c>
      <c r="M23" s="315">
        <f>M10</f>
        <v>385</v>
      </c>
      <c r="N23" s="14">
        <f>SUM(N11:N15)</f>
        <v>57011784.87668281</v>
      </c>
      <c r="O23" s="14"/>
      <c r="P23" s="14"/>
      <c r="Q23" s="14">
        <f>SUM(Q11:Q15)</f>
        <v>45739046.370709665</v>
      </c>
      <c r="R23" s="302"/>
      <c r="S23" s="347"/>
    </row>
    <row r="24" spans="1:23">
      <c r="K24" s="400"/>
      <c r="L24" s="11" t="s">
        <v>26</v>
      </c>
      <c r="M24" s="315">
        <f>M16</f>
        <v>483</v>
      </c>
      <c r="N24" s="14">
        <f>SUM(N17:N21)</f>
        <v>66566544.82284002</v>
      </c>
      <c r="O24" s="14"/>
      <c r="P24" s="14"/>
      <c r="Q24" s="14">
        <f>SUM(Q17:Q21)</f>
        <v>54244922.166792676</v>
      </c>
      <c r="R24" s="302"/>
      <c r="S24" s="347"/>
    </row>
    <row r="25" spans="1:23">
      <c r="L25" s="8"/>
      <c r="N25" s="7">
        <f>N22+N23+N24</f>
        <v>140290512.07000002</v>
      </c>
      <c r="O25" s="7"/>
      <c r="P25" s="7">
        <f>P22+P23+P24</f>
        <v>0</v>
      </c>
      <c r="Q25" s="7">
        <f t="shared" ref="Q25" si="7">Q22+Q23+Q24</f>
        <v>113138549.96286875</v>
      </c>
      <c r="R25" s="302"/>
      <c r="S25" s="347"/>
    </row>
    <row r="26" spans="1:23">
      <c r="L26" s="8"/>
      <c r="N26" s="7"/>
      <c r="O26" s="7"/>
      <c r="P26" s="7"/>
      <c r="Q26" s="7"/>
      <c r="R26" s="302"/>
      <c r="S26" s="347"/>
    </row>
    <row r="27" spans="1:23">
      <c r="L27" s="8"/>
      <c r="N27" s="7"/>
      <c r="O27" s="7"/>
      <c r="P27" s="7"/>
      <c r="Q27" s="7"/>
      <c r="R27" s="302"/>
      <c r="S27" s="347"/>
    </row>
    <row r="28" spans="1:23" ht="25.5">
      <c r="M28" s="243" t="s">
        <v>291</v>
      </c>
      <c r="N28" s="239" t="s">
        <v>62</v>
      </c>
      <c r="O28" s="239" t="s">
        <v>279</v>
      </c>
      <c r="P28" s="240" t="s">
        <v>53</v>
      </c>
      <c r="Q28" s="240"/>
      <c r="R28" s="241"/>
      <c r="S28" s="348"/>
      <c r="T28" s="240" t="s">
        <v>55</v>
      </c>
      <c r="U28" s="242" t="s">
        <v>54</v>
      </c>
    </row>
    <row r="29" spans="1:23">
      <c r="K29" s="244" t="s">
        <v>280</v>
      </c>
      <c r="L29" s="245">
        <f>N29-M29</f>
        <v>1286693.9999999963</v>
      </c>
      <c r="M29" s="359">
        <f>'[1]для ФУ'!$M$10</f>
        <v>28144688.559999999</v>
      </c>
      <c r="N29" s="43">
        <f>N11+N17+N5</f>
        <v>29431382.559999995</v>
      </c>
      <c r="O29" s="43">
        <f>M29+O17</f>
        <v>29431382.559999999</v>
      </c>
      <c r="P29" s="16" t="s">
        <v>17</v>
      </c>
      <c r="Q29" s="14">
        <f>Q5+Q11+Q17</f>
        <v>28858634.309688888</v>
      </c>
      <c r="R29" s="14">
        <f>R5+R11+R17</f>
        <v>0</v>
      </c>
      <c r="S29" s="349"/>
      <c r="T29" s="14">
        <f>T5+T11+T17</f>
        <v>29431382.549999997</v>
      </c>
      <c r="U29" s="14">
        <f>T29-M29-O17</f>
        <v>-1.0000001639127731E-2</v>
      </c>
      <c r="V29" s="43">
        <f>T29-M29</f>
        <v>1286693.9899999984</v>
      </c>
      <c r="W29" s="7">
        <f>V29-L29</f>
        <v>-9.9999979138374329E-3</v>
      </c>
    </row>
    <row r="30" spans="1:23" ht="15">
      <c r="K30" s="246" t="s">
        <v>281</v>
      </c>
      <c r="L30" s="45">
        <f t="shared" ref="L30" si="8">N30-M30</f>
        <v>908557.8200000152</v>
      </c>
      <c r="M30" s="247">
        <f>'[2]для ФУ'!$M$10</f>
        <v>23122052.68</v>
      </c>
      <c r="N30" s="43">
        <f t="shared" ref="N30:N32" si="9">N12+N18+N6</f>
        <v>24030610.500000015</v>
      </c>
      <c r="O30" s="43">
        <f>M30+O18</f>
        <v>24030610.5</v>
      </c>
      <c r="P30" s="16" t="s">
        <v>20</v>
      </c>
      <c r="Q30" s="14">
        <f>Q18+Q12</f>
        <v>17294362.056239791</v>
      </c>
      <c r="R30" s="14">
        <f>R18+R12</f>
        <v>0</v>
      </c>
      <c r="S30" s="349"/>
      <c r="T30" s="14">
        <f>T18+T12</f>
        <v>21693185.82</v>
      </c>
      <c r="U30" s="14">
        <f>T30-M30-O18</f>
        <v>-2337424.6799999992</v>
      </c>
      <c r="V30" s="43">
        <f t="shared" ref="V30:V33" si="10">T30-M30</f>
        <v>-1428866.8599999994</v>
      </c>
      <c r="W30" s="7">
        <f>V30-L30</f>
        <v>-2337424.6800000146</v>
      </c>
    </row>
    <row r="31" spans="1:23">
      <c r="K31" s="248" t="s">
        <v>282</v>
      </c>
      <c r="L31" s="249">
        <f>N31-M31</f>
        <v>855051.82999999449</v>
      </c>
      <c r="M31" s="250">
        <f>'[3]для ФУ'!$M$10</f>
        <v>24571317.690000001</v>
      </c>
      <c r="N31" s="43">
        <f t="shared" si="9"/>
        <v>25426369.519999996</v>
      </c>
      <c r="O31" s="43">
        <f>O19+M31</f>
        <v>25426369.52</v>
      </c>
      <c r="P31" s="16" t="s">
        <v>21</v>
      </c>
      <c r="Q31" s="14">
        <f>Q19+Q13</f>
        <v>15881718.222844843</v>
      </c>
      <c r="R31" s="14">
        <f>R19+R13</f>
        <v>0</v>
      </c>
      <c r="S31" s="349"/>
      <c r="T31" s="14">
        <f>T19+T13</f>
        <v>22071381.25</v>
      </c>
      <c r="U31" s="14">
        <f>T31-M31-O19</f>
        <v>-3354988.2700000014</v>
      </c>
      <c r="V31" s="43">
        <f t="shared" si="10"/>
        <v>-2499936.4400000013</v>
      </c>
      <c r="W31" s="7">
        <f>V31-L31</f>
        <v>-3354988.2699999958</v>
      </c>
    </row>
    <row r="32" spans="1:23">
      <c r="K32" s="251" t="s">
        <v>283</v>
      </c>
      <c r="L32" s="45">
        <f>N32-M32</f>
        <v>1153119.3400000073</v>
      </c>
      <c r="M32" s="45">
        <f>'[4]для ФУ'!$M$10</f>
        <v>26420254.57</v>
      </c>
      <c r="N32" s="43">
        <f t="shared" si="9"/>
        <v>27573373.910000008</v>
      </c>
      <c r="O32" s="43">
        <f>O20+M32</f>
        <v>27573373.91</v>
      </c>
      <c r="P32" s="222" t="s">
        <v>18</v>
      </c>
      <c r="Q32" s="14">
        <f>Q20+Q14+Q8</f>
        <v>24313247.400114577</v>
      </c>
      <c r="R32" s="14">
        <f>R20+R14+R8</f>
        <v>0</v>
      </c>
      <c r="S32" s="349"/>
      <c r="T32" s="14">
        <f>T8+T14+T20</f>
        <v>27573373.919999998</v>
      </c>
      <c r="U32" s="14">
        <f>T32-M32-O20</f>
        <v>9.9999976810067892E-3</v>
      </c>
      <c r="V32" s="43">
        <f t="shared" si="10"/>
        <v>1153119.3499999978</v>
      </c>
      <c r="W32" s="7">
        <f>V32-L32</f>
        <v>9.9999904632568359E-3</v>
      </c>
    </row>
    <row r="33" spans="11:23">
      <c r="K33" s="251" t="s">
        <v>286</v>
      </c>
      <c r="L33" s="45">
        <f>N33-M33</f>
        <v>1175696.2600000054</v>
      </c>
      <c r="M33" s="45">
        <f>'[5]для ФУ'!$M$10</f>
        <v>32653079.32</v>
      </c>
      <c r="N33" s="43">
        <f>N15+N21+N9</f>
        <v>33828775.580000006</v>
      </c>
      <c r="O33" s="43">
        <f>O21+M33</f>
        <v>33828775.579999998</v>
      </c>
      <c r="P33" s="222" t="s">
        <v>287</v>
      </c>
      <c r="Q33" s="14">
        <f>Q9+Q15+Q21</f>
        <v>22495214.447330393</v>
      </c>
      <c r="R33" s="14"/>
      <c r="S33" s="349"/>
      <c r="T33" s="14">
        <f>T9+T15+T21</f>
        <v>33828775.57</v>
      </c>
      <c r="U33" s="14">
        <f>T33-M33-O21</f>
        <v>-1.0000000009313226E-2</v>
      </c>
      <c r="V33" s="43">
        <f t="shared" si="10"/>
        <v>1175696.25</v>
      </c>
      <c r="W33" s="7"/>
    </row>
    <row r="34" spans="11:23">
      <c r="K34" s="251" t="s">
        <v>27</v>
      </c>
      <c r="L34" s="36">
        <f>SUM(L29:L33)</f>
        <v>5379119.2500000186</v>
      </c>
      <c r="M34" s="36">
        <f t="shared" ref="M34:W34" si="11">SUM(M29:M33)</f>
        <v>134911392.81999999</v>
      </c>
      <c r="N34" s="36">
        <f t="shared" si="11"/>
        <v>140290512.07000002</v>
      </c>
      <c r="O34" s="36">
        <f t="shared" si="11"/>
        <v>140290512.06999999</v>
      </c>
      <c r="P34" s="36">
        <f t="shared" si="11"/>
        <v>0</v>
      </c>
      <c r="Q34" s="36">
        <f>SUM(Q29:Q33)</f>
        <v>108843176.4362185</v>
      </c>
      <c r="R34" s="36">
        <f t="shared" si="11"/>
        <v>0</v>
      </c>
      <c r="S34" s="350">
        <f t="shared" si="11"/>
        <v>0</v>
      </c>
      <c r="T34" s="36">
        <f>SUM(T29:T33)</f>
        <v>134598099.11000001</v>
      </c>
      <c r="U34" s="36">
        <f t="shared" si="11"/>
        <v>-5692412.9600000046</v>
      </c>
      <c r="V34" s="36">
        <f t="shared" si="11"/>
        <v>-313293.71000000462</v>
      </c>
      <c r="W34" s="36">
        <f t="shared" si="11"/>
        <v>-5692412.9500000179</v>
      </c>
    </row>
    <row r="35" spans="11:23">
      <c r="M35" s="7"/>
      <c r="N35" s="7"/>
      <c r="O35" s="7"/>
      <c r="P35" s="7"/>
      <c r="Q35" s="7"/>
      <c r="R35" s="7">
        <f>R19+R13</f>
        <v>0</v>
      </c>
      <c r="T35" s="7"/>
    </row>
    <row r="36" spans="11:23">
      <c r="N36" s="268"/>
    </row>
    <row r="37" spans="11:23">
      <c r="N37" s="269">
        <f>N34-M34</f>
        <v>5379119.2500000298</v>
      </c>
      <c r="T37" s="256">
        <f>O34-T34</f>
        <v>5692412.9599999785</v>
      </c>
    </row>
    <row r="38" spans="11:23">
      <c r="L38" s="7"/>
    </row>
    <row r="39" spans="11:23">
      <c r="N39" s="238"/>
    </row>
    <row r="40" spans="11:23">
      <c r="N40" s="7"/>
    </row>
    <row r="42" spans="11:23">
      <c r="R42" s="1"/>
    </row>
  </sheetData>
  <mergeCells count="11">
    <mergeCell ref="P1:P2"/>
    <mergeCell ref="Q1:Q2"/>
    <mergeCell ref="R1:R2"/>
    <mergeCell ref="K22:K24"/>
    <mergeCell ref="N1:N2"/>
    <mergeCell ref="O1:O2"/>
    <mergeCell ref="A1:A2"/>
    <mergeCell ref="B1:D1"/>
    <mergeCell ref="E1:K1"/>
    <mergeCell ref="L1:L2"/>
    <mergeCell ref="M1:M2"/>
  </mergeCells>
  <pageMargins left="0.31496062992125984" right="0.31496062992125984" top="0.74803149606299213" bottom="0.74803149606299213" header="0" footer="0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12"/>
  <sheetViews>
    <sheetView tabSelected="1" zoomScaleSheetLayoutView="80" workbookViewId="0">
      <pane xSplit="1" ySplit="3" topLeftCell="B49" activePane="bottomRight" state="frozen"/>
      <selection pane="topRight" activeCell="B1" sqref="B1"/>
      <selection pane="bottomLeft" activeCell="A4" sqref="A4"/>
      <selection pane="bottomRight" activeCell="O57" sqref="O57"/>
    </sheetView>
  </sheetViews>
  <sheetFormatPr defaultColWidth="8.85546875" defaultRowHeight="12.75"/>
  <cols>
    <col min="1" max="1" width="26" style="1" customWidth="1"/>
    <col min="2" max="2" width="10.28515625" style="1" bestFit="1" customWidth="1"/>
    <col min="3" max="3" width="13.140625" style="1" customWidth="1"/>
    <col min="4" max="4" width="12.28515625" style="1" customWidth="1"/>
    <col min="5" max="6" width="9.28515625" style="1" bestFit="1" customWidth="1"/>
    <col min="7" max="8" width="8.85546875" style="1"/>
    <col min="9" max="9" width="19.140625" style="1" customWidth="1"/>
    <col min="10" max="10" width="17.140625" style="1" customWidth="1"/>
    <col min="11" max="11" width="19.7109375" style="1" customWidth="1"/>
    <col min="12" max="12" width="17.5703125" style="1" customWidth="1"/>
    <col min="13" max="13" width="18.28515625" style="328" bestFit="1" customWidth="1"/>
    <col min="14" max="14" width="19.42578125" style="1" customWidth="1"/>
    <col min="15" max="15" width="27" style="1" customWidth="1"/>
    <col min="16" max="16" width="21.5703125" style="1" customWidth="1"/>
    <col min="17" max="17" width="16.7109375" style="1" customWidth="1"/>
    <col min="18" max="18" width="18.140625" style="1" hidden="1" customWidth="1"/>
    <col min="19" max="19" width="15.7109375" style="357" customWidth="1"/>
    <col min="20" max="20" width="22.7109375" style="1" customWidth="1"/>
    <col min="21" max="21" width="17.28515625" style="1" customWidth="1"/>
    <col min="22" max="22" width="25.5703125" style="331" customWidth="1"/>
    <col min="23" max="23" width="20.42578125" style="6" customWidth="1"/>
    <col min="24" max="24" width="21.7109375" style="6" customWidth="1"/>
    <col min="25" max="16384" width="8.85546875" style="1"/>
  </cols>
  <sheetData>
    <row r="1" spans="1:22" ht="70.5" customHeight="1">
      <c r="A1" s="401" t="s">
        <v>14</v>
      </c>
      <c r="B1" s="401" t="s">
        <v>11</v>
      </c>
      <c r="C1" s="401"/>
      <c r="D1" s="401"/>
      <c r="E1" s="401" t="s">
        <v>12</v>
      </c>
      <c r="F1" s="401"/>
      <c r="G1" s="401"/>
      <c r="H1" s="401"/>
      <c r="I1" s="401"/>
      <c r="J1" s="401"/>
      <c r="K1" s="401"/>
      <c r="L1" s="401" t="s">
        <v>13</v>
      </c>
      <c r="M1" s="402" t="s">
        <v>28</v>
      </c>
      <c r="N1" s="401" t="s">
        <v>29</v>
      </c>
      <c r="O1" s="401" t="s">
        <v>14</v>
      </c>
      <c r="P1" s="401" t="s">
        <v>50</v>
      </c>
      <c r="Q1" s="401" t="s">
        <v>51</v>
      </c>
      <c r="R1" s="401"/>
      <c r="S1" s="356"/>
      <c r="T1" s="30" t="s">
        <v>56</v>
      </c>
    </row>
    <row r="2" spans="1:22" ht="16.5" customHeight="1">
      <c r="A2" s="401"/>
      <c r="B2" s="266" t="s">
        <v>0</v>
      </c>
      <c r="C2" s="266" t="s">
        <v>10</v>
      </c>
      <c r="D2" s="266" t="s">
        <v>1</v>
      </c>
      <c r="E2" s="266" t="s">
        <v>2</v>
      </c>
      <c r="F2" s="266" t="s">
        <v>3</v>
      </c>
      <c r="G2" s="266" t="s">
        <v>4</v>
      </c>
      <c r="H2" s="266" t="s">
        <v>5</v>
      </c>
      <c r="I2" s="266" t="s">
        <v>6</v>
      </c>
      <c r="J2" s="266" t="s">
        <v>7</v>
      </c>
      <c r="K2" s="266" t="s">
        <v>8</v>
      </c>
      <c r="L2" s="401"/>
      <c r="M2" s="402"/>
      <c r="N2" s="401"/>
      <c r="O2" s="401"/>
      <c r="P2" s="401"/>
      <c r="Q2" s="401"/>
      <c r="R2" s="401"/>
      <c r="S2" s="356"/>
      <c r="T2" s="13"/>
    </row>
    <row r="3" spans="1:22">
      <c r="A3" s="231">
        <v>1</v>
      </c>
      <c r="B3" s="231">
        <v>2</v>
      </c>
      <c r="C3" s="231">
        <v>3</v>
      </c>
      <c r="D3" s="231">
        <v>4</v>
      </c>
      <c r="E3" s="231">
        <v>5</v>
      </c>
      <c r="F3" s="231">
        <v>6</v>
      </c>
      <c r="G3" s="231">
        <v>7</v>
      </c>
      <c r="H3" s="231">
        <v>8</v>
      </c>
      <c r="I3" s="231">
        <v>9</v>
      </c>
      <c r="J3" s="231">
        <v>10</v>
      </c>
      <c r="K3" s="231">
        <v>11</v>
      </c>
      <c r="L3" s="231" t="s">
        <v>9</v>
      </c>
      <c r="M3" s="321"/>
      <c r="N3" s="13"/>
      <c r="O3" s="49">
        <v>1</v>
      </c>
      <c r="P3" s="50"/>
      <c r="Q3" s="50"/>
    </row>
    <row r="4" spans="1:22" ht="40.5" customHeight="1">
      <c r="A4" s="295" t="s">
        <v>47</v>
      </c>
      <c r="B4" s="232"/>
      <c r="C4" s="38"/>
      <c r="D4" s="38"/>
      <c r="E4" s="232"/>
      <c r="F4" s="232"/>
      <c r="G4" s="38"/>
      <c r="H4" s="38"/>
      <c r="I4" s="38"/>
      <c r="J4" s="38"/>
      <c r="K4" s="38"/>
      <c r="L4" s="233">
        <f>B4+C4+D4+E4+F4+G4+H4+I4+J4+K4</f>
        <v>0</v>
      </c>
      <c r="M4" s="322">
        <f>SUM(M5:M9)</f>
        <v>245</v>
      </c>
      <c r="N4" s="15"/>
      <c r="O4" s="222" t="str">
        <f>A4</f>
        <v>Присмотр и уход (группы продленного дня)</v>
      </c>
      <c r="P4" s="13"/>
      <c r="Q4" s="13"/>
      <c r="R4" s="7"/>
      <c r="S4" s="356"/>
      <c r="T4" s="227">
        <f>T5+T6+T7+T8+T9</f>
        <v>22089191.940000001</v>
      </c>
      <c r="U4" s="14"/>
    </row>
    <row r="5" spans="1:22" s="21" customFormat="1" ht="15">
      <c r="A5" s="329" t="s">
        <v>30</v>
      </c>
      <c r="B5" s="257">
        <v>12552.080719999807</v>
      </c>
      <c r="C5" s="237">
        <v>413.73333333333341</v>
      </c>
      <c r="D5" s="237">
        <v>737.93103448275872</v>
      </c>
      <c r="E5" s="257">
        <v>10904.429581066792</v>
      </c>
      <c r="F5" s="257">
        <v>1409.1424408014573</v>
      </c>
      <c r="G5" s="237">
        <v>0</v>
      </c>
      <c r="H5" s="237">
        <v>0</v>
      </c>
      <c r="I5" s="237">
        <v>0</v>
      </c>
      <c r="J5" s="237">
        <v>32396.75401067772</v>
      </c>
      <c r="K5" s="237">
        <v>5745.1035826601383</v>
      </c>
      <c r="L5" s="296">
        <v>64159.174703022007</v>
      </c>
      <c r="M5" s="392">
        <v>75</v>
      </c>
      <c r="N5" s="19">
        <f>M5*L5</f>
        <v>4811938.1027266504</v>
      </c>
      <c r="O5" s="329" t="str">
        <f t="shared" ref="O5:O67" si="0">A5</f>
        <v>ССШ №1</v>
      </c>
      <c r="P5" s="19">
        <f>L5*M5</f>
        <v>4811938.1027266504</v>
      </c>
      <c r="Q5" s="18"/>
      <c r="R5" s="20"/>
      <c r="S5" s="369">
        <v>1.000000000566643</v>
      </c>
      <c r="T5" s="26">
        <f>ROUND(P5*S5,2)</f>
        <v>4811938.1100000003</v>
      </c>
      <c r="U5" s="18">
        <f>N5-T5</f>
        <v>-7.2733499109745026E-3</v>
      </c>
      <c r="V5" s="336">
        <f>N5/T5</f>
        <v>0.99999999848847809</v>
      </c>
    </row>
    <row r="6" spans="1:22" s="6" customFormat="1" ht="15">
      <c r="A6" s="222" t="s">
        <v>31</v>
      </c>
      <c r="B6" s="232">
        <v>18748.814606400134</v>
      </c>
      <c r="C6" s="38">
        <v>240.8</v>
      </c>
      <c r="D6" s="38">
        <v>695.36423841059604</v>
      </c>
      <c r="E6" s="232">
        <v>7832.2352115809899</v>
      </c>
      <c r="F6" s="232">
        <v>1506.7501659751035</v>
      </c>
      <c r="G6" s="38">
        <v>0</v>
      </c>
      <c r="H6" s="38">
        <v>0</v>
      </c>
      <c r="I6" s="38">
        <v>0</v>
      </c>
      <c r="J6" s="38">
        <v>30418.132645496993</v>
      </c>
      <c r="K6" s="38">
        <v>5326.961969337116</v>
      </c>
      <c r="L6" s="233">
        <v>64769.05883720093</v>
      </c>
      <c r="M6" s="323">
        <v>50</v>
      </c>
      <c r="N6" s="24">
        <f>M6*L6</f>
        <v>3238452.9418600467</v>
      </c>
      <c r="O6" s="222" t="str">
        <f t="shared" si="0"/>
        <v>ССШ №2</v>
      </c>
      <c r="P6" s="24">
        <f>L5*M6</f>
        <v>3207958.7351511004</v>
      </c>
      <c r="Q6" s="23"/>
      <c r="R6" s="25"/>
      <c r="S6" s="368">
        <v>1.009505796156233</v>
      </c>
      <c r="T6" s="46">
        <f>ROUND(P6*S6,2)</f>
        <v>3238452.94</v>
      </c>
      <c r="U6" s="23">
        <f t="shared" ref="U6:U84" si="1">N6-T6</f>
        <v>1.8600467592477798E-3</v>
      </c>
      <c r="V6" s="390">
        <f t="shared" ref="V6:V77" si="2">N6/T6</f>
        <v>1.0000000005743628</v>
      </c>
    </row>
    <row r="7" spans="1:22" s="6" customFormat="1" ht="15">
      <c r="A7" s="319" t="s">
        <v>60</v>
      </c>
      <c r="B7" s="232">
        <v>18980.656153846143</v>
      </c>
      <c r="C7" s="38">
        <v>327.69230769230768</v>
      </c>
      <c r="D7" s="38">
        <v>835.65698361763225</v>
      </c>
      <c r="E7" s="232">
        <v>11876.290104711608</v>
      </c>
      <c r="F7" s="232">
        <v>1528.8052094240838</v>
      </c>
      <c r="G7" s="38">
        <v>0</v>
      </c>
      <c r="H7" s="38">
        <v>0</v>
      </c>
      <c r="I7" s="38">
        <v>0</v>
      </c>
      <c r="J7" s="38">
        <v>36775.24311307523</v>
      </c>
      <c r="K7" s="38">
        <v>8037.205106128129</v>
      </c>
      <c r="L7" s="233">
        <v>78361.548978495121</v>
      </c>
      <c r="M7" s="323">
        <v>65</v>
      </c>
      <c r="N7" s="24">
        <f t="shared" ref="N7:N9" si="3">M7*L7</f>
        <v>5093500.6836021831</v>
      </c>
      <c r="O7" s="222" t="str">
        <f t="shared" si="0"/>
        <v>ТСШ №3</v>
      </c>
      <c r="P7" s="24">
        <f>L5*M7</f>
        <v>4170346.3556964304</v>
      </c>
      <c r="Q7" s="23"/>
      <c r="R7" s="25"/>
      <c r="S7" s="368">
        <v>1.2213615474380366</v>
      </c>
      <c r="T7" s="46">
        <f>ROUND(P7*S7,2)</f>
        <v>5093500.68</v>
      </c>
      <c r="U7" s="23">
        <f t="shared" si="1"/>
        <v>3.602183423936367E-3</v>
      </c>
      <c r="V7" s="332">
        <f t="shared" si="2"/>
        <v>1.0000000007072116</v>
      </c>
    </row>
    <row r="8" spans="1:22" ht="15">
      <c r="A8" s="319" t="s">
        <v>61</v>
      </c>
      <c r="B8" s="232">
        <v>33053.813333332917</v>
      </c>
      <c r="C8" s="38">
        <v>566.66666666666663</v>
      </c>
      <c r="D8" s="38">
        <v>2137.4127750939342</v>
      </c>
      <c r="E8" s="232">
        <v>45104.816296239165</v>
      </c>
      <c r="F8" s="232">
        <v>7957.3298765432091</v>
      </c>
      <c r="G8" s="38">
        <v>0</v>
      </c>
      <c r="H8" s="38">
        <v>0</v>
      </c>
      <c r="I8" s="38">
        <v>0</v>
      </c>
      <c r="J8" s="38">
        <v>127151.51596159232</v>
      </c>
      <c r="K8" s="38">
        <v>16230.45062680648</v>
      </c>
      <c r="L8" s="233">
        <v>232202.00553627469</v>
      </c>
      <c r="M8" s="321">
        <v>15</v>
      </c>
      <c r="N8" s="15">
        <f t="shared" si="3"/>
        <v>3483030.0830441206</v>
      </c>
      <c r="O8" s="222" t="str">
        <f t="shared" si="0"/>
        <v>БСШ №5</v>
      </c>
      <c r="P8" s="15">
        <f>L5*M8</f>
        <v>962387.62054533011</v>
      </c>
      <c r="Q8" s="14"/>
      <c r="R8" s="7"/>
      <c r="S8" s="368">
        <v>3.6191551207237271</v>
      </c>
      <c r="T8" s="48">
        <f>ROUND(P8*S8,2)</f>
        <v>3483030.09</v>
      </c>
      <c r="U8" s="14">
        <f t="shared" si="1"/>
        <v>-6.9558792747557163E-3</v>
      </c>
      <c r="V8" s="334">
        <f t="shared" si="2"/>
        <v>0.99999999800292305</v>
      </c>
    </row>
    <row r="9" spans="1:22" ht="15">
      <c r="A9" s="319" t="s">
        <v>262</v>
      </c>
      <c r="B9" s="232">
        <v>23830.818199999954</v>
      </c>
      <c r="C9" s="38">
        <v>122.5</v>
      </c>
      <c r="D9" s="38">
        <v>1138.112973308504</v>
      </c>
      <c r="E9" s="232">
        <v>15240.524972059475</v>
      </c>
      <c r="F9" s="232">
        <v>4287.3182681564249</v>
      </c>
      <c r="G9" s="38">
        <v>0</v>
      </c>
      <c r="H9" s="38">
        <v>0</v>
      </c>
      <c r="I9" s="38">
        <v>0</v>
      </c>
      <c r="J9" s="38">
        <v>74984.679362857671</v>
      </c>
      <c r="K9" s="38">
        <v>16952.799320005961</v>
      </c>
      <c r="L9" s="233">
        <v>136556.75309638798</v>
      </c>
      <c r="M9" s="321">
        <v>40</v>
      </c>
      <c r="N9" s="15">
        <f t="shared" si="3"/>
        <v>5462270.1238555191</v>
      </c>
      <c r="O9" s="222" t="str">
        <f t="shared" si="0"/>
        <v>НСШ №6</v>
      </c>
      <c r="P9" s="15">
        <f>L5*M9</f>
        <v>2566366.9881208804</v>
      </c>
      <c r="Q9" s="14"/>
      <c r="R9" s="7"/>
      <c r="S9" s="368">
        <v>2.1284056976806416</v>
      </c>
      <c r="T9" s="48">
        <f>ROUND(P9*S9,2)</f>
        <v>5462270.1200000001</v>
      </c>
      <c r="U9" s="14">
        <f t="shared" si="1"/>
        <v>3.8555189967155457E-3</v>
      </c>
      <c r="V9" s="334">
        <f t="shared" si="2"/>
        <v>1.0000000007058456</v>
      </c>
    </row>
    <row r="10" spans="1:22" ht="57" customHeight="1">
      <c r="A10" s="295" t="s">
        <v>35</v>
      </c>
      <c r="B10" s="232"/>
      <c r="C10" s="38"/>
      <c r="D10" s="38"/>
      <c r="E10" s="232"/>
      <c r="F10" s="232"/>
      <c r="G10" s="38"/>
      <c r="H10" s="38"/>
      <c r="I10" s="38"/>
      <c r="J10" s="38"/>
      <c r="K10" s="38"/>
      <c r="L10" s="233"/>
      <c r="M10" s="322">
        <f>M11+M12+M13+M14+M15+M16+M17</f>
        <v>468</v>
      </c>
      <c r="N10" s="15"/>
      <c r="O10" s="222" t="str">
        <f t="shared" si="0"/>
        <v>Реализация основных общеобразовательных программ начального общего образования</v>
      </c>
      <c r="P10" s="13"/>
      <c r="Q10" s="13"/>
      <c r="R10" s="7"/>
      <c r="S10" s="356"/>
      <c r="T10" s="227">
        <f>T11+T12+T13+T14+T15+T16+T17</f>
        <v>78759370.370000005</v>
      </c>
      <c r="U10" s="14"/>
      <c r="V10" s="335">
        <f t="shared" si="2"/>
        <v>0</v>
      </c>
    </row>
    <row r="11" spans="1:22" s="6" customFormat="1" ht="15">
      <c r="A11" s="319" t="s">
        <v>30</v>
      </c>
      <c r="B11" s="232">
        <v>70957.432276395848</v>
      </c>
      <c r="C11" s="38">
        <v>879.8295454545455</v>
      </c>
      <c r="D11" s="38">
        <v>1309.660992288666</v>
      </c>
      <c r="E11" s="232">
        <v>10904.429581066792</v>
      </c>
      <c r="F11" s="232">
        <v>1409.1424408014573</v>
      </c>
      <c r="G11" s="38">
        <v>0</v>
      </c>
      <c r="H11" s="38">
        <v>327.39548523206747</v>
      </c>
      <c r="I11" s="38">
        <v>31.645569620253163</v>
      </c>
      <c r="J11" s="38">
        <v>35291.240066454615</v>
      </c>
      <c r="K11" s="38">
        <v>6063.2997851917844</v>
      </c>
      <c r="L11" s="233">
        <v>127174.07574250603</v>
      </c>
      <c r="M11" s="323">
        <v>176</v>
      </c>
      <c r="N11" s="305">
        <f>M11*L11</f>
        <v>22382637.33068106</v>
      </c>
      <c r="O11" s="222" t="str">
        <f t="shared" si="0"/>
        <v>ССШ №1</v>
      </c>
      <c r="P11" s="23">
        <f>M11*L$12</f>
        <v>18688026.992782541</v>
      </c>
      <c r="Q11" s="23"/>
      <c r="R11" s="25"/>
      <c r="S11" s="368">
        <v>1.1976993260261266</v>
      </c>
      <c r="T11" s="48">
        <f>ROUND(P11*S11,2)</f>
        <v>22382637.329999998</v>
      </c>
      <c r="U11" s="23">
        <f>N11-T11</f>
        <v>6.8106129765510559E-4</v>
      </c>
      <c r="V11" s="335">
        <f t="shared" si="2"/>
        <v>1.0000000000304281</v>
      </c>
    </row>
    <row r="12" spans="1:22" s="21" customFormat="1" ht="15">
      <c r="A12" s="329" t="s">
        <v>31</v>
      </c>
      <c r="B12" s="257">
        <v>55958.002801786402</v>
      </c>
      <c r="C12" s="237">
        <v>598.5</v>
      </c>
      <c r="D12" s="237">
        <v>895.86549154342799</v>
      </c>
      <c r="E12" s="257">
        <v>7832.2352115809881</v>
      </c>
      <c r="F12" s="257">
        <v>1506.7501659751035</v>
      </c>
      <c r="G12" s="237">
        <v>0</v>
      </c>
      <c r="H12" s="237">
        <v>243.14807017543859</v>
      </c>
      <c r="I12" s="237">
        <v>298.16513761467888</v>
      </c>
      <c r="J12" s="237">
        <v>33171.798284594428</v>
      </c>
      <c r="K12" s="237">
        <v>5677.506386630349</v>
      </c>
      <c r="L12" s="296">
        <v>106181.9715499008</v>
      </c>
      <c r="M12" s="330">
        <v>160</v>
      </c>
      <c r="N12" s="19">
        <f t="shared" ref="N12:N17" si="4">M12*L12</f>
        <v>16989115.447984129</v>
      </c>
      <c r="O12" s="329" t="str">
        <f t="shared" si="0"/>
        <v>ССШ №2</v>
      </c>
      <c r="P12" s="18">
        <f t="shared" ref="P12" si="5">M12*L$12</f>
        <v>16989115.447984129</v>
      </c>
      <c r="Q12" s="18"/>
      <c r="R12" s="20"/>
      <c r="S12" s="369">
        <v>0.99999999988134347</v>
      </c>
      <c r="T12" s="48">
        <f t="shared" ref="T12:T17" si="6">ROUND(P12*S12,2)</f>
        <v>16989115.449999999</v>
      </c>
      <c r="U12" s="18">
        <f t="shared" si="1"/>
        <v>-2.015870064496994E-3</v>
      </c>
      <c r="V12" s="333">
        <f t="shared" si="2"/>
        <v>0.99999999988134347</v>
      </c>
    </row>
    <row r="13" spans="1:22" ht="15">
      <c r="A13" s="319" t="s">
        <v>60</v>
      </c>
      <c r="B13" s="232">
        <v>84503.389311122563</v>
      </c>
      <c r="C13" s="38">
        <v>840.32258064516111</v>
      </c>
      <c r="D13" s="38">
        <v>2720.0500472014469</v>
      </c>
      <c r="E13" s="232">
        <v>11876.290104711608</v>
      </c>
      <c r="F13" s="232">
        <v>1528.8052094240838</v>
      </c>
      <c r="G13" s="38">
        <v>0</v>
      </c>
      <c r="H13" s="38">
        <v>414.01632653061228</v>
      </c>
      <c r="I13" s="38">
        <v>110.41009463722398</v>
      </c>
      <c r="J13" s="38">
        <v>36775.24311307523</v>
      </c>
      <c r="K13" s="38">
        <v>8723.9848935605369</v>
      </c>
      <c r="L13" s="233">
        <v>147492.51168090847</v>
      </c>
      <c r="M13" s="321">
        <v>62</v>
      </c>
      <c r="N13" s="15">
        <f t="shared" si="4"/>
        <v>9144535.7242163252</v>
      </c>
      <c r="O13" s="222" t="str">
        <f t="shared" si="0"/>
        <v>ТСШ №3</v>
      </c>
      <c r="P13" s="23">
        <f>M13*L$12</f>
        <v>6583282.2360938499</v>
      </c>
      <c r="Q13" s="14"/>
      <c r="R13" s="7"/>
      <c r="S13" s="368">
        <v>1.38905418161387</v>
      </c>
      <c r="T13" s="48">
        <f t="shared" si="6"/>
        <v>9144535.7200000007</v>
      </c>
      <c r="U13" s="14">
        <f t="shared" si="1"/>
        <v>4.2163245379924774E-3</v>
      </c>
      <c r="V13" s="335">
        <f t="shared" si="2"/>
        <v>1.0000000004610758</v>
      </c>
    </row>
    <row r="14" spans="1:22" ht="15">
      <c r="A14" s="319" t="s">
        <v>61</v>
      </c>
      <c r="B14" s="232">
        <v>267638.95348836971</v>
      </c>
      <c r="C14" s="38">
        <v>2617.333333333333</v>
      </c>
      <c r="D14" s="38">
        <v>8446.9365846177425</v>
      </c>
      <c r="E14" s="232">
        <v>45104.816296239165</v>
      </c>
      <c r="F14" s="232">
        <v>7957.3298765432091</v>
      </c>
      <c r="G14" s="38">
        <v>0</v>
      </c>
      <c r="H14" s="38">
        <v>1442.0687037037039</v>
      </c>
      <c r="I14" s="38">
        <v>606.06060606060612</v>
      </c>
      <c r="J14" s="38">
        <v>127151.51596159232</v>
      </c>
      <c r="K14" s="38">
        <v>16273.307769663621</v>
      </c>
      <c r="L14" s="233">
        <v>477238.32262012339</v>
      </c>
      <c r="M14" s="321">
        <v>15</v>
      </c>
      <c r="N14" s="15">
        <f t="shared" si="4"/>
        <v>7158574.8393018506</v>
      </c>
      <c r="O14" s="222" t="str">
        <f t="shared" si="0"/>
        <v>БСШ №5</v>
      </c>
      <c r="P14" s="23">
        <f>M14*L$12</f>
        <v>1592729.5732485121</v>
      </c>
      <c r="Q14" s="14"/>
      <c r="R14" s="7"/>
      <c r="S14" s="368">
        <v>4.4945325145824038</v>
      </c>
      <c r="T14" s="48">
        <f t="shared" si="6"/>
        <v>7158574.8499999996</v>
      </c>
      <c r="U14" s="14">
        <f>N14-T14</f>
        <v>-1.0698148980736732E-2</v>
      </c>
      <c r="V14" s="335">
        <f>N14/T14</f>
        <v>0.99999999850554766</v>
      </c>
    </row>
    <row r="15" spans="1:22" ht="15">
      <c r="A15" s="319" t="s">
        <v>262</v>
      </c>
      <c r="B15" s="232">
        <v>186950.93792369118</v>
      </c>
      <c r="C15" s="38">
        <v>1379.6296296296296</v>
      </c>
      <c r="D15" s="38">
        <v>5739.5622486708226</v>
      </c>
      <c r="E15" s="232">
        <v>15240.524972059475</v>
      </c>
      <c r="F15" s="232">
        <v>4287.3182681564249</v>
      </c>
      <c r="G15" s="38">
        <v>0</v>
      </c>
      <c r="H15" s="38">
        <v>1065.95</v>
      </c>
      <c r="I15" s="38">
        <v>185.61151079136692</v>
      </c>
      <c r="J15" s="38">
        <v>74984.679362857671</v>
      </c>
      <c r="K15" s="38">
        <v>17140.077902936719</v>
      </c>
      <c r="L15" s="233">
        <v>306974.29181879334</v>
      </c>
      <c r="M15" s="320">
        <v>27</v>
      </c>
      <c r="N15" s="15">
        <f>M15*L15</f>
        <v>8288305.8791074203</v>
      </c>
      <c r="O15" s="222" t="str">
        <f t="shared" si="0"/>
        <v>НСШ №6</v>
      </c>
      <c r="P15" s="23">
        <f>M15*L$12</f>
        <v>2866913.2318473216</v>
      </c>
      <c r="Q15" s="14"/>
      <c r="R15" s="7"/>
      <c r="S15" s="368">
        <v>2.8910208346652406</v>
      </c>
      <c r="T15" s="48">
        <f t="shared" si="6"/>
        <v>8288305.8799999999</v>
      </c>
      <c r="U15" s="14">
        <f t="shared" si="1"/>
        <v>-8.9257955551147461E-4</v>
      </c>
      <c r="V15" s="335">
        <f t="shared" si="2"/>
        <v>0.99999999989230859</v>
      </c>
    </row>
    <row r="16" spans="1:22" ht="15">
      <c r="A16" s="319" t="s">
        <v>267</v>
      </c>
      <c r="B16" s="232">
        <v>263373.16812756658</v>
      </c>
      <c r="C16" s="38">
        <v>3271.6666666666665</v>
      </c>
      <c r="D16" s="38">
        <v>8884.5542374954148</v>
      </c>
      <c r="E16" s="232">
        <v>25771.266307692302</v>
      </c>
      <c r="F16" s="232">
        <v>15816.999230769228</v>
      </c>
      <c r="G16" s="38">
        <v>0</v>
      </c>
      <c r="H16" s="38">
        <v>3682.1184313725489</v>
      </c>
      <c r="I16" s="38">
        <v>615.38461538461547</v>
      </c>
      <c r="J16" s="38">
        <v>142413.26005142624</v>
      </c>
      <c r="K16" s="38">
        <v>25462.734195426197</v>
      </c>
      <c r="L16" s="233">
        <v>489291.15186379984</v>
      </c>
      <c r="M16" s="321">
        <v>12</v>
      </c>
      <c r="N16" s="15">
        <f t="shared" si="4"/>
        <v>5871493.8223655978</v>
      </c>
      <c r="O16" s="222" t="str">
        <f t="shared" si="0"/>
        <v>ВСШ №8</v>
      </c>
      <c r="P16" s="23">
        <f>M16*L$12</f>
        <v>1274183.6585988095</v>
      </c>
      <c r="Q16" s="14"/>
      <c r="R16" s="7"/>
      <c r="S16" s="368">
        <v>4.608043570709107</v>
      </c>
      <c r="T16" s="48">
        <f t="shared" si="6"/>
        <v>5871493.8200000003</v>
      </c>
      <c r="U16" s="14">
        <f t="shared" si="1"/>
        <v>2.3655975237488747E-3</v>
      </c>
      <c r="V16" s="335">
        <f t="shared" si="2"/>
        <v>1.0000000004028953</v>
      </c>
    </row>
    <row r="17" spans="1:22" ht="18.75" customHeight="1">
      <c r="A17" s="319" t="s">
        <v>292</v>
      </c>
      <c r="B17" s="232">
        <v>222916.6666666666</v>
      </c>
      <c r="C17" s="38">
        <v>1953.75</v>
      </c>
      <c r="D17" s="38">
        <v>11916.666666666666</v>
      </c>
      <c r="E17" s="232">
        <v>21776.848999999973</v>
      </c>
      <c r="F17" s="232">
        <v>15804.051500000001</v>
      </c>
      <c r="G17" s="38">
        <v>0</v>
      </c>
      <c r="H17" s="38">
        <v>933.58400000000006</v>
      </c>
      <c r="I17" s="38">
        <v>3925</v>
      </c>
      <c r="J17" s="38">
        <v>246121.14074999955</v>
      </c>
      <c r="K17" s="38">
        <v>32446.497500000001</v>
      </c>
      <c r="L17" s="233">
        <v>557794.20608333289</v>
      </c>
      <c r="M17" s="321">
        <v>16</v>
      </c>
      <c r="N17" s="15">
        <f t="shared" si="4"/>
        <v>8924707.2973333262</v>
      </c>
      <c r="O17" s="222" t="str">
        <f t="shared" si="0"/>
        <v>ВОШ №9</v>
      </c>
      <c r="P17" s="23">
        <f>M17*L$12</f>
        <v>1698911.5447984128</v>
      </c>
      <c r="Q17" s="14"/>
      <c r="R17" s="7"/>
      <c r="S17" s="368">
        <v>5.2531912858354746</v>
      </c>
      <c r="T17" s="48">
        <f t="shared" si="6"/>
        <v>8924707.3200000003</v>
      </c>
      <c r="U17" s="14">
        <f t="shared" si="1"/>
        <v>-2.2666674107313156E-2</v>
      </c>
      <c r="V17" s="335">
        <f t="shared" si="2"/>
        <v>0.99999999746023338</v>
      </c>
    </row>
    <row r="18" spans="1:22" ht="55.5" customHeight="1">
      <c r="A18" s="295" t="s">
        <v>38</v>
      </c>
      <c r="B18" s="232"/>
      <c r="C18" s="38"/>
      <c r="D18" s="38"/>
      <c r="E18" s="232"/>
      <c r="F18" s="232"/>
      <c r="G18" s="38"/>
      <c r="H18" s="38"/>
      <c r="I18" s="38"/>
      <c r="J18" s="38"/>
      <c r="K18" s="38"/>
      <c r="L18" s="233"/>
      <c r="M18" s="322">
        <f>M19+M20+M21+M22+M23+M24+M25</f>
        <v>603</v>
      </c>
      <c r="N18" s="15"/>
      <c r="O18" s="222" t="str">
        <f t="shared" si="0"/>
        <v>Реализация основных общеобразовательных программ основного общего образования</v>
      </c>
      <c r="P18" s="13"/>
      <c r="Q18" s="13"/>
      <c r="R18" s="7"/>
      <c r="S18" s="356"/>
      <c r="T18" s="227">
        <f>T19+T20+T21+T22+T23+T24+T25</f>
        <v>99225368.620000005</v>
      </c>
      <c r="U18" s="14"/>
      <c r="V18" s="334">
        <f t="shared" si="2"/>
        <v>0</v>
      </c>
    </row>
    <row r="19" spans="1:22" s="6" customFormat="1" ht="15.75" customHeight="1">
      <c r="A19" s="319" t="s">
        <v>30</v>
      </c>
      <c r="B19" s="232">
        <v>72582.747712637458</v>
      </c>
      <c r="C19" s="38">
        <v>978.75502008032117</v>
      </c>
      <c r="D19" s="38">
        <v>1309.660992288666</v>
      </c>
      <c r="E19" s="232">
        <v>10904.429581066792</v>
      </c>
      <c r="F19" s="232">
        <v>1409.1424408014573</v>
      </c>
      <c r="G19" s="38">
        <v>0</v>
      </c>
      <c r="H19" s="38">
        <v>327.39548523206747</v>
      </c>
      <c r="I19" s="38">
        <v>31.645569620253163</v>
      </c>
      <c r="J19" s="38">
        <v>35291.240066454615</v>
      </c>
      <c r="K19" s="38">
        <v>5750.7997851917844</v>
      </c>
      <c r="L19" s="233">
        <v>128585.81665337342</v>
      </c>
      <c r="M19" s="323">
        <v>249</v>
      </c>
      <c r="N19" s="305">
        <f>M19*L19</f>
        <v>32017868.34668998</v>
      </c>
      <c r="O19" s="222" t="str">
        <f t="shared" si="0"/>
        <v>ССШ №1</v>
      </c>
      <c r="P19" s="23">
        <f t="shared" ref="P19:P25" si="7">M19*L$20</f>
        <v>26919387.153391913</v>
      </c>
      <c r="Q19" s="23"/>
      <c r="R19" s="25"/>
      <c r="S19" s="368">
        <v>1.1893981155024171</v>
      </c>
      <c r="T19" s="48">
        <f t="shared" ref="T19:T25" si="8">ROUND(P19*S19,2)</f>
        <v>32017868.350000001</v>
      </c>
      <c r="U19" s="23">
        <f t="shared" si="1"/>
        <v>-3.3100210130214691E-3</v>
      </c>
      <c r="V19" s="334">
        <f t="shared" si="2"/>
        <v>0.99999999989661958</v>
      </c>
    </row>
    <row r="20" spans="1:22" s="21" customFormat="1" ht="15">
      <c r="A20" s="329" t="s">
        <v>31</v>
      </c>
      <c r="B20" s="257">
        <v>58062.339872916113</v>
      </c>
      <c r="C20" s="237">
        <v>765.95744680851055</v>
      </c>
      <c r="D20" s="237">
        <v>895.86549154342799</v>
      </c>
      <c r="E20" s="257">
        <v>7832.2352115809899</v>
      </c>
      <c r="F20" s="257">
        <v>1506.7501659751035</v>
      </c>
      <c r="G20" s="237">
        <v>0</v>
      </c>
      <c r="H20" s="237">
        <v>243.14807017543859</v>
      </c>
      <c r="I20" s="237">
        <v>298.16513761467888</v>
      </c>
      <c r="J20" s="237">
        <v>33171.798284594428</v>
      </c>
      <c r="K20" s="237">
        <v>5333.7288866303488</v>
      </c>
      <c r="L20" s="296">
        <v>108109.98856783901</v>
      </c>
      <c r="M20" s="330">
        <v>188</v>
      </c>
      <c r="N20" s="19">
        <f t="shared" ref="N20:N25" si="9">M20*L20</f>
        <v>20324677.850753736</v>
      </c>
      <c r="O20" s="329" t="str">
        <f t="shared" si="0"/>
        <v>ССШ №2</v>
      </c>
      <c r="P20" s="18">
        <f t="shared" si="7"/>
        <v>20324677.850753736</v>
      </c>
      <c r="Q20" s="18"/>
      <c r="R20" s="20"/>
      <c r="S20" s="369">
        <v>1.0000000000370848</v>
      </c>
      <c r="T20" s="26">
        <f t="shared" si="8"/>
        <v>20324677.850000001</v>
      </c>
      <c r="U20" s="18">
        <f>N20-T20</f>
        <v>7.5373426079750061E-4</v>
      </c>
      <c r="V20" s="336">
        <f t="shared" si="2"/>
        <v>1.0000000000370848</v>
      </c>
    </row>
    <row r="21" spans="1:22" ht="15">
      <c r="A21" s="319" t="s">
        <v>60</v>
      </c>
      <c r="B21" s="232">
        <v>88766.107148960422</v>
      </c>
      <c r="C21" s="38">
        <v>978.57142857142856</v>
      </c>
      <c r="D21" s="38">
        <v>2720.0500472014469</v>
      </c>
      <c r="E21" s="232">
        <v>11876.290104711608</v>
      </c>
      <c r="F21" s="232">
        <v>1528.8052094240838</v>
      </c>
      <c r="G21" s="38">
        <v>0</v>
      </c>
      <c r="H21" s="38">
        <v>414.01632653061228</v>
      </c>
      <c r="I21" s="38">
        <v>110.41009463722398</v>
      </c>
      <c r="J21" s="38">
        <v>36775.24311307523</v>
      </c>
      <c r="K21" s="38">
        <v>8078.8236032379555</v>
      </c>
      <c r="L21" s="233">
        <v>151248.31707635001</v>
      </c>
      <c r="M21" s="321">
        <v>84</v>
      </c>
      <c r="N21" s="15">
        <f t="shared" si="9"/>
        <v>12704858.634413401</v>
      </c>
      <c r="O21" s="222" t="str">
        <f t="shared" si="0"/>
        <v>ТСШ №3</v>
      </c>
      <c r="P21" s="23">
        <f t="shared" si="7"/>
        <v>9081239.0396984778</v>
      </c>
      <c r="Q21" s="14"/>
      <c r="R21" s="7"/>
      <c r="S21" s="368">
        <v>1.399022597957448</v>
      </c>
      <c r="T21" s="48">
        <f t="shared" si="8"/>
        <v>12704858.630000001</v>
      </c>
      <c r="U21" s="14">
        <f t="shared" si="1"/>
        <v>4.4133998453617096E-3</v>
      </c>
      <c r="V21" s="334">
        <f t="shared" si="2"/>
        <v>1.0000000003473788</v>
      </c>
    </row>
    <row r="22" spans="1:22" ht="15">
      <c r="A22" s="319" t="s">
        <v>61</v>
      </c>
      <c r="B22" s="232">
        <v>267638.95348836976</v>
      </c>
      <c r="C22" s="38">
        <v>2941.6666666666665</v>
      </c>
      <c r="D22" s="38">
        <v>8446.9365846177425</v>
      </c>
      <c r="E22" s="232">
        <v>45104.816296239165</v>
      </c>
      <c r="F22" s="232">
        <v>7957.3298765432091</v>
      </c>
      <c r="G22" s="38">
        <v>0</v>
      </c>
      <c r="H22" s="38">
        <v>1442.0687037037037</v>
      </c>
      <c r="I22" s="38">
        <v>606.06060606060601</v>
      </c>
      <c r="J22" s="38">
        <v>127151.51596159232</v>
      </c>
      <c r="K22" s="38">
        <v>16273.307769663621</v>
      </c>
      <c r="L22" s="233">
        <v>477562.65595345682</v>
      </c>
      <c r="M22" s="321">
        <v>24</v>
      </c>
      <c r="N22" s="15">
        <f t="shared" si="9"/>
        <v>11461503.742882963</v>
      </c>
      <c r="O22" s="222" t="str">
        <f t="shared" si="0"/>
        <v>БСШ №5</v>
      </c>
      <c r="P22" s="23">
        <f t="shared" si="7"/>
        <v>2594639.7256281362</v>
      </c>
      <c r="Q22" s="14"/>
      <c r="R22" s="7"/>
      <c r="S22" s="368">
        <v>4.4173777231426898</v>
      </c>
      <c r="T22" s="48">
        <f t="shared" si="8"/>
        <v>11461503.720000001</v>
      </c>
      <c r="U22" s="14">
        <f t="shared" si="1"/>
        <v>2.2882962599396706E-2</v>
      </c>
      <c r="V22" s="334">
        <f t="shared" si="2"/>
        <v>1.0000000019965061</v>
      </c>
    </row>
    <row r="23" spans="1:22" ht="15">
      <c r="A23" s="319" t="s">
        <v>262</v>
      </c>
      <c r="B23" s="232">
        <v>197738.93792369118</v>
      </c>
      <c r="C23" s="38">
        <v>1770</v>
      </c>
      <c r="D23" s="38">
        <v>5739.5622486708226</v>
      </c>
      <c r="E23" s="232">
        <v>15240.524972059475</v>
      </c>
      <c r="F23" s="232">
        <v>4287.3182681564249</v>
      </c>
      <c r="G23" s="38">
        <v>0</v>
      </c>
      <c r="H23" s="38">
        <v>1065.95</v>
      </c>
      <c r="I23" s="38">
        <v>185.61151079136692</v>
      </c>
      <c r="J23" s="38">
        <v>74984.679362857671</v>
      </c>
      <c r="K23" s="38">
        <v>16991.929754788573</v>
      </c>
      <c r="L23" s="233">
        <v>318004.51404101553</v>
      </c>
      <c r="M23" s="321">
        <v>35</v>
      </c>
      <c r="N23" s="15">
        <f t="shared" si="9"/>
        <v>11130157.991435543</v>
      </c>
      <c r="O23" s="222" t="str">
        <f t="shared" si="0"/>
        <v>НСШ №6</v>
      </c>
      <c r="P23" s="23">
        <f t="shared" si="7"/>
        <v>3783849.5998743656</v>
      </c>
      <c r="Q23" s="14"/>
      <c r="R23" s="7"/>
      <c r="S23" s="368">
        <v>2.9414905897516492</v>
      </c>
      <c r="T23" s="48">
        <f t="shared" si="8"/>
        <v>11130157.99</v>
      </c>
      <c r="U23" s="14">
        <f t="shared" si="1"/>
        <v>1.4355424791574478E-3</v>
      </c>
      <c r="V23" s="334">
        <f t="shared" si="2"/>
        <v>1.0000000001289777</v>
      </c>
    </row>
    <row r="24" spans="1:22" ht="15">
      <c r="A24" s="319" t="s">
        <v>267</v>
      </c>
      <c r="B24" s="232">
        <v>263373.16812756658</v>
      </c>
      <c r="C24" s="38">
        <v>4110.5263157894733</v>
      </c>
      <c r="D24" s="38">
        <v>8884.5542374954148</v>
      </c>
      <c r="E24" s="232">
        <v>25771.266307692302</v>
      </c>
      <c r="F24" s="232">
        <v>15816.999230769228</v>
      </c>
      <c r="G24" s="38">
        <v>0</v>
      </c>
      <c r="H24" s="38">
        <v>3682.1184313725489</v>
      </c>
      <c r="I24" s="38">
        <v>615.38461538461547</v>
      </c>
      <c r="J24" s="38">
        <v>142413.26005142624</v>
      </c>
      <c r="K24" s="38">
        <v>25462.734195426197</v>
      </c>
      <c r="L24" s="233">
        <v>490130.01151292265</v>
      </c>
      <c r="M24" s="321">
        <v>19</v>
      </c>
      <c r="N24" s="15">
        <f t="shared" si="9"/>
        <v>9312470.2187455297</v>
      </c>
      <c r="O24" s="222" t="str">
        <f t="shared" si="0"/>
        <v>ВСШ №8</v>
      </c>
      <c r="P24" s="23">
        <f t="shared" si="7"/>
        <v>2054089.7827889412</v>
      </c>
      <c r="Q24" s="14"/>
      <c r="R24" s="7"/>
      <c r="S24" s="368">
        <v>4.53362375365381</v>
      </c>
      <c r="T24" s="48">
        <f t="shared" si="8"/>
        <v>9312470.2300000004</v>
      </c>
      <c r="U24" s="14">
        <f t="shared" si="1"/>
        <v>-1.125447079539299E-2</v>
      </c>
      <c r="V24" s="334">
        <f t="shared" si="2"/>
        <v>0.9999999987914624</v>
      </c>
    </row>
    <row r="25" spans="1:22" ht="15">
      <c r="A25" s="319" t="s">
        <v>292</v>
      </c>
      <c r="B25" s="232">
        <v>222916.6666666666</v>
      </c>
      <c r="C25" s="38">
        <v>14685</v>
      </c>
      <c r="D25" s="38">
        <v>11916.666666666666</v>
      </c>
      <c r="E25" s="232">
        <v>21776.848999999973</v>
      </c>
      <c r="F25" s="232">
        <v>15804.051500000001</v>
      </c>
      <c r="G25" s="38">
        <v>0</v>
      </c>
      <c r="H25" s="38">
        <v>933.58400000000006</v>
      </c>
      <c r="I25" s="38">
        <v>3925</v>
      </c>
      <c r="J25" s="38">
        <v>246121.14074999955</v>
      </c>
      <c r="K25" s="38">
        <v>30378.997500000001</v>
      </c>
      <c r="L25" s="233">
        <v>568457.95608333289</v>
      </c>
      <c r="M25" s="321">
        <v>4</v>
      </c>
      <c r="N25" s="15">
        <f t="shared" si="9"/>
        <v>2273831.8243333315</v>
      </c>
      <c r="O25" s="222" t="str">
        <f t="shared" si="0"/>
        <v>ВОШ №9</v>
      </c>
      <c r="P25" s="23">
        <f t="shared" si="7"/>
        <v>432439.95427135605</v>
      </c>
      <c r="Q25" s="14"/>
      <c r="R25" s="7"/>
      <c r="S25" s="368">
        <v>5.2581446842118345</v>
      </c>
      <c r="T25" s="48">
        <f t="shared" si="8"/>
        <v>2273831.85</v>
      </c>
      <c r="U25" s="14">
        <f t="shared" si="1"/>
        <v>-2.5666668545454741E-2</v>
      </c>
      <c r="V25" s="334">
        <f t="shared" si="2"/>
        <v>0.9999999887121519</v>
      </c>
    </row>
    <row r="26" spans="1:22" ht="55.5" customHeight="1">
      <c r="A26" s="295" t="s">
        <v>39</v>
      </c>
      <c r="B26" s="232"/>
      <c r="C26" s="38"/>
      <c r="D26" s="38"/>
      <c r="E26" s="232"/>
      <c r="F26" s="232"/>
      <c r="G26" s="38"/>
      <c r="H26" s="38"/>
      <c r="I26" s="38"/>
      <c r="J26" s="38"/>
      <c r="K26" s="38"/>
      <c r="L26" s="233"/>
      <c r="M26" s="322">
        <f>M27+M28+M29+M30+M31+M32</f>
        <v>143</v>
      </c>
      <c r="N26" s="15"/>
      <c r="O26" s="222" t="str">
        <f t="shared" si="0"/>
        <v>Реализация основных общеобразовательных программ среднего общего образования</v>
      </c>
      <c r="P26" s="13"/>
      <c r="Q26" s="13"/>
      <c r="R26" s="7"/>
      <c r="S26" s="356"/>
      <c r="T26" s="227">
        <f>T27+T28+T29+T30+T31+T32</f>
        <v>22931258.579999998</v>
      </c>
      <c r="U26" s="14"/>
      <c r="V26" s="334">
        <f t="shared" si="2"/>
        <v>0</v>
      </c>
    </row>
    <row r="27" spans="1:22" s="6" customFormat="1" ht="15">
      <c r="A27" s="319" t="s">
        <v>30</v>
      </c>
      <c r="B27" s="232">
        <v>72582.747712637458</v>
      </c>
      <c r="C27" s="38">
        <v>1743.0612244897959</v>
      </c>
      <c r="D27" s="38">
        <v>1309.660992288666</v>
      </c>
      <c r="E27" s="232">
        <v>10904.429581066792</v>
      </c>
      <c r="F27" s="232">
        <v>1409.1424408014573</v>
      </c>
      <c r="G27" s="38">
        <v>0</v>
      </c>
      <c r="H27" s="38">
        <v>327.39548523206747</v>
      </c>
      <c r="I27" s="38">
        <v>2990.8292430896408</v>
      </c>
      <c r="J27" s="38">
        <v>35291.240066454615</v>
      </c>
      <c r="K27" s="38">
        <v>5750.7997851917844</v>
      </c>
      <c r="L27" s="233">
        <v>132309.30653125228</v>
      </c>
      <c r="M27" s="323">
        <v>49</v>
      </c>
      <c r="N27" s="305">
        <f>M27*L27</f>
        <v>6483156.0200313618</v>
      </c>
      <c r="O27" s="222" t="str">
        <f t="shared" si="0"/>
        <v>ССШ №1</v>
      </c>
      <c r="P27" s="23">
        <f t="shared" ref="P27:P32" si="10">M27*L$28</f>
        <v>5310971.2504206905</v>
      </c>
      <c r="Q27" s="23"/>
      <c r="R27" s="25"/>
      <c r="S27" s="368">
        <v>1.220710057511865</v>
      </c>
      <c r="T27" s="48">
        <f t="shared" ref="T27:T32" si="11">ROUND(P27*S27,2)</f>
        <v>6483156.0199999996</v>
      </c>
      <c r="U27" s="23">
        <f t="shared" si="1"/>
        <v>3.1362287700176239E-5</v>
      </c>
      <c r="V27" s="334">
        <f t="shared" si="2"/>
        <v>1.0000000000048375</v>
      </c>
    </row>
    <row r="28" spans="1:22" s="21" customFormat="1" ht="14.25" customHeight="1">
      <c r="A28" s="329" t="s">
        <v>31</v>
      </c>
      <c r="B28" s="257">
        <v>58062.339872916098</v>
      </c>
      <c r="C28" s="237">
        <v>1043.1372549019607</v>
      </c>
      <c r="D28" s="237">
        <v>895.86549154342799</v>
      </c>
      <c r="E28" s="257">
        <v>7832.2352115809881</v>
      </c>
      <c r="F28" s="257">
        <v>1506.7501659751035</v>
      </c>
      <c r="G28" s="237">
        <v>0</v>
      </c>
      <c r="H28" s="237">
        <v>243.14807017543859</v>
      </c>
      <c r="I28" s="237">
        <v>298.16513761467888</v>
      </c>
      <c r="J28" s="237">
        <v>33171.798284594421</v>
      </c>
      <c r="K28" s="237">
        <v>5333.7288866303488</v>
      </c>
      <c r="L28" s="296">
        <v>108387.16837593245</v>
      </c>
      <c r="M28" s="330">
        <v>51</v>
      </c>
      <c r="N28" s="19">
        <f>M28*L28</f>
        <v>5527745.5871725548</v>
      </c>
      <c r="O28" s="329" t="str">
        <f t="shared" si="0"/>
        <v>ССШ №2</v>
      </c>
      <c r="P28" s="18">
        <f t="shared" si="10"/>
        <v>5527745.5871725548</v>
      </c>
      <c r="Q28" s="18"/>
      <c r="R28" s="20"/>
      <c r="S28" s="369">
        <v>0.99999999948849938</v>
      </c>
      <c r="T28" s="26">
        <f t="shared" si="11"/>
        <v>5527745.5800000001</v>
      </c>
      <c r="U28" s="18">
        <f t="shared" si="1"/>
        <v>7.1725547313690186E-3</v>
      </c>
      <c r="V28" s="336">
        <f t="shared" si="2"/>
        <v>1.0000000012975552</v>
      </c>
    </row>
    <row r="29" spans="1:22" ht="15">
      <c r="A29" s="319" t="s">
        <v>60</v>
      </c>
      <c r="B29" s="232">
        <v>87687.307148960404</v>
      </c>
      <c r="C29" s="38">
        <v>1644.4444444444446</v>
      </c>
      <c r="D29" s="38">
        <v>2720.0500472014473</v>
      </c>
      <c r="E29" s="232">
        <v>11876.290104711608</v>
      </c>
      <c r="F29" s="232">
        <v>1528.8052094240838</v>
      </c>
      <c r="G29" s="38">
        <v>0</v>
      </c>
      <c r="H29" s="38">
        <v>414.01632653061228</v>
      </c>
      <c r="I29" s="38">
        <v>2332.6323168594463</v>
      </c>
      <c r="J29" s="38">
        <v>36775.24311307523</v>
      </c>
      <c r="K29" s="38">
        <v>8078.8236032379555</v>
      </c>
      <c r="L29" s="233">
        <v>153057.61231444523</v>
      </c>
      <c r="M29" s="321">
        <v>27</v>
      </c>
      <c r="N29" s="15">
        <f t="shared" ref="N29:N31" si="12">M29*L29</f>
        <v>4132555.5324900211</v>
      </c>
      <c r="O29" s="222" t="str">
        <f t="shared" si="0"/>
        <v>ТСШ №3</v>
      </c>
      <c r="P29" s="23">
        <f t="shared" si="10"/>
        <v>2926453.5461501763</v>
      </c>
      <c r="Q29" s="14"/>
      <c r="R29" s="7"/>
      <c r="S29" s="368">
        <v>1.4121377503121555</v>
      </c>
      <c r="T29" s="48">
        <f t="shared" si="11"/>
        <v>4132555.53</v>
      </c>
      <c r="U29" s="14">
        <f t="shared" si="1"/>
        <v>2.490021288394928E-3</v>
      </c>
      <c r="V29" s="334">
        <f t="shared" si="2"/>
        <v>1.0000000006025378</v>
      </c>
    </row>
    <row r="30" spans="1:22" ht="15">
      <c r="A30" s="319" t="s">
        <v>61</v>
      </c>
      <c r="B30" s="232">
        <v>267638.95348836976</v>
      </c>
      <c r="C30" s="38">
        <v>14546.666666666666</v>
      </c>
      <c r="D30" s="38">
        <v>8446.9365846177425</v>
      </c>
      <c r="E30" s="232">
        <v>45104.816296239165</v>
      </c>
      <c r="F30" s="232">
        <v>7957.3298765432091</v>
      </c>
      <c r="G30" s="38">
        <v>0</v>
      </c>
      <c r="H30" s="38">
        <v>1442.0687037037037</v>
      </c>
      <c r="I30" s="38">
        <v>17272.727272727272</v>
      </c>
      <c r="J30" s="38">
        <v>127151.51596159232</v>
      </c>
      <c r="K30" s="38">
        <v>16273.307769663621</v>
      </c>
      <c r="L30" s="233">
        <v>505834.32262012351</v>
      </c>
      <c r="M30" s="321">
        <v>3</v>
      </c>
      <c r="N30" s="15">
        <f t="shared" si="12"/>
        <v>1517502.9678603704</v>
      </c>
      <c r="O30" s="222" t="str">
        <f t="shared" si="0"/>
        <v>БСШ №5</v>
      </c>
      <c r="P30" s="23">
        <f t="shared" si="10"/>
        <v>325161.50512779737</v>
      </c>
      <c r="Q30" s="14"/>
      <c r="R30" s="7"/>
      <c r="S30" s="368">
        <v>4.6669206569386716</v>
      </c>
      <c r="T30" s="48">
        <f t="shared" si="11"/>
        <v>1517502.95</v>
      </c>
      <c r="U30" s="14">
        <f t="shared" si="1"/>
        <v>1.7860370455309749E-2</v>
      </c>
      <c r="V30" s="334">
        <f t="shared" si="2"/>
        <v>1.0000000117695786</v>
      </c>
    </row>
    <row r="31" spans="1:22" ht="15">
      <c r="A31" s="319" t="s">
        <v>262</v>
      </c>
      <c r="B31" s="232">
        <v>197738.93792369118</v>
      </c>
      <c r="C31" s="38">
        <v>5842.8571428571422</v>
      </c>
      <c r="D31" s="38">
        <v>5739.5622486708226</v>
      </c>
      <c r="E31" s="232">
        <v>15240.524972059475</v>
      </c>
      <c r="F31" s="232">
        <v>4287.3182681564249</v>
      </c>
      <c r="G31" s="38">
        <v>0</v>
      </c>
      <c r="H31" s="38">
        <v>1065.9500000000003</v>
      </c>
      <c r="I31" s="38">
        <v>7328.4686536485087</v>
      </c>
      <c r="J31" s="38">
        <v>74984.679362857671</v>
      </c>
      <c r="K31" s="38">
        <v>16991.929754788573</v>
      </c>
      <c r="L31" s="233">
        <v>329220.22832672979</v>
      </c>
      <c r="M31" s="321">
        <v>7</v>
      </c>
      <c r="N31" s="15">
        <f t="shared" si="12"/>
        <v>2304541.5982871084</v>
      </c>
      <c r="O31" s="222" t="str">
        <f t="shared" si="0"/>
        <v>НСШ №6</v>
      </c>
      <c r="P31" s="23">
        <f t="shared" si="10"/>
        <v>758710.17863152712</v>
      </c>
      <c r="Q31" s="14"/>
      <c r="R31" s="7"/>
      <c r="S31" s="368">
        <v>3.0374465231072927</v>
      </c>
      <c r="T31" s="48">
        <f t="shared" si="11"/>
        <v>2304541.59</v>
      </c>
      <c r="U31" s="14">
        <f t="shared" si="1"/>
        <v>8.2871085032820702E-3</v>
      </c>
      <c r="V31" s="334">
        <f t="shared" si="2"/>
        <v>1.00000000359599</v>
      </c>
    </row>
    <row r="32" spans="1:22" ht="15">
      <c r="A32" s="319" t="s">
        <v>267</v>
      </c>
      <c r="B32" s="232">
        <v>263373.16812756658</v>
      </c>
      <c r="C32" s="38">
        <v>6773.333333333333</v>
      </c>
      <c r="D32" s="38">
        <v>8884.5542374954148</v>
      </c>
      <c r="E32" s="232">
        <v>25771.266307692302</v>
      </c>
      <c r="F32" s="232">
        <v>15816.999230769228</v>
      </c>
      <c r="G32" s="38">
        <v>0</v>
      </c>
      <c r="H32" s="38">
        <v>3682.1184313725489</v>
      </c>
      <c r="I32" s="38">
        <v>2115.3846153846152</v>
      </c>
      <c r="J32" s="38">
        <v>142413.26005142624</v>
      </c>
      <c r="K32" s="38">
        <v>25462.734195426197</v>
      </c>
      <c r="L32" s="233">
        <v>494292.81853046647</v>
      </c>
      <c r="M32" s="321">
        <v>6</v>
      </c>
      <c r="N32" s="15">
        <f>M32*L32</f>
        <v>2965756.9111827989</v>
      </c>
      <c r="O32" s="222" t="str">
        <f t="shared" si="0"/>
        <v>ВСШ №8</v>
      </c>
      <c r="P32" s="23">
        <f t="shared" si="10"/>
        <v>650323.01025559474</v>
      </c>
      <c r="Q32" s="14"/>
      <c r="R32" s="7"/>
      <c r="S32" s="368">
        <v>4.5604366838915924</v>
      </c>
      <c r="T32" s="48">
        <f t="shared" si="11"/>
        <v>2965756.91</v>
      </c>
      <c r="U32" s="14">
        <f>N32-T32</f>
        <v>1.1827987618744373E-3</v>
      </c>
      <c r="V32" s="334">
        <f t="shared" si="2"/>
        <v>1.0000000003988185</v>
      </c>
    </row>
    <row r="33" spans="1:22" ht="64.5">
      <c r="A33" s="295" t="s">
        <v>40</v>
      </c>
      <c r="B33" s="232"/>
      <c r="C33" s="38"/>
      <c r="D33" s="38"/>
      <c r="E33" s="232"/>
      <c r="F33" s="232"/>
      <c r="G33" s="38"/>
      <c r="H33" s="38"/>
      <c r="I33" s="38"/>
      <c r="J33" s="38"/>
      <c r="K33" s="38"/>
      <c r="L33" s="233"/>
      <c r="M33" s="322">
        <f>M34+M35</f>
        <v>4</v>
      </c>
      <c r="N33" s="15"/>
      <c r="O33" s="222" t="str">
        <f t="shared" si="0"/>
        <v>Реализация основных общеобразовательных программ основного общего образования (форма очно-заочная)</v>
      </c>
      <c r="P33" s="13"/>
      <c r="Q33" s="13"/>
      <c r="R33" s="7"/>
      <c r="S33" s="356"/>
      <c r="T33" s="227">
        <f>T35+T34</f>
        <v>1111332.58</v>
      </c>
      <c r="U33" s="14"/>
      <c r="V33" s="335">
        <f t="shared" si="2"/>
        <v>0</v>
      </c>
    </row>
    <row r="34" spans="1:22" s="6" customFormat="1" ht="15">
      <c r="A34" s="222" t="s">
        <v>30</v>
      </c>
      <c r="B34" s="223"/>
      <c r="C34" s="224"/>
      <c r="D34" s="224"/>
      <c r="E34" s="223"/>
      <c r="F34" s="223"/>
      <c r="G34" s="224"/>
      <c r="H34" s="224"/>
      <c r="I34" s="224"/>
      <c r="J34" s="224"/>
      <c r="K34" s="224"/>
      <c r="L34" s="225"/>
      <c r="M34" s="323"/>
      <c r="N34" s="393">
        <f>M34*L34</f>
        <v>0</v>
      </c>
      <c r="O34" s="222" t="str">
        <f t="shared" si="0"/>
        <v>ССШ №1</v>
      </c>
      <c r="P34" s="394">
        <f>L35*M34</f>
        <v>0</v>
      </c>
      <c r="Q34" s="46"/>
      <c r="R34" s="25"/>
      <c r="S34" s="368"/>
      <c r="T34" s="46">
        <f>ROUND(P34*S34,2)</f>
        <v>0</v>
      </c>
      <c r="U34" s="23">
        <f>N34-T34</f>
        <v>0</v>
      </c>
      <c r="V34" s="395" t="e">
        <f>N34/T34</f>
        <v>#DIV/0!</v>
      </c>
    </row>
    <row r="35" spans="1:22" s="21" customFormat="1" ht="15">
      <c r="A35" s="329" t="s">
        <v>292</v>
      </c>
      <c r="B35" s="257">
        <v>222916.6666666666</v>
      </c>
      <c r="C35" s="237">
        <v>0</v>
      </c>
      <c r="D35" s="237">
        <v>1416.6666666666665</v>
      </c>
      <c r="E35" s="257">
        <v>0</v>
      </c>
      <c r="F35" s="257">
        <v>0</v>
      </c>
      <c r="G35" s="237">
        <v>0</v>
      </c>
      <c r="H35" s="237">
        <v>0</v>
      </c>
      <c r="I35" s="237">
        <v>625</v>
      </c>
      <c r="J35" s="237">
        <v>52874.811249999366</v>
      </c>
      <c r="K35" s="237">
        <v>0</v>
      </c>
      <c r="L35" s="296">
        <v>277833.14458333264</v>
      </c>
      <c r="M35" s="330">
        <v>4</v>
      </c>
      <c r="N35" s="342">
        <f>M35*L35</f>
        <v>1111332.5783333306</v>
      </c>
      <c r="O35" s="329" t="str">
        <f t="shared" si="0"/>
        <v>ВОШ №9</v>
      </c>
      <c r="P35" s="26">
        <f>L35*M35</f>
        <v>1111332.5783333306</v>
      </c>
      <c r="Q35" s="26"/>
      <c r="R35" s="20"/>
      <c r="S35" s="369">
        <v>1</v>
      </c>
      <c r="T35" s="26">
        <f>ROUND(P35*S35,2)</f>
        <v>1111332.58</v>
      </c>
      <c r="U35" s="18">
        <f t="shared" si="1"/>
        <v>-1.6666695009917021E-3</v>
      </c>
      <c r="V35" s="333">
        <f>N35/T35</f>
        <v>0.99999999850029642</v>
      </c>
    </row>
    <row r="36" spans="1:22" ht="64.5">
      <c r="A36" s="295" t="s">
        <v>41</v>
      </c>
      <c r="B36" s="232"/>
      <c r="C36" s="38"/>
      <c r="D36" s="38"/>
      <c r="E36" s="232"/>
      <c r="F36" s="232"/>
      <c r="G36" s="38"/>
      <c r="H36" s="38"/>
      <c r="I36" s="38"/>
      <c r="J36" s="38"/>
      <c r="K36" s="38"/>
      <c r="L36" s="233"/>
      <c r="M36" s="322">
        <f>M37</f>
        <v>0</v>
      </c>
      <c r="N36" s="15"/>
      <c r="O36" s="222" t="str">
        <f t="shared" si="0"/>
        <v>Реализация основных общеобразовательных программ среднего общего образования (форма очно-заочная)</v>
      </c>
      <c r="P36" s="13"/>
      <c r="Q36" s="13"/>
      <c r="R36" s="7"/>
      <c r="S36" s="356"/>
      <c r="T36" s="227">
        <f>T37</f>
        <v>0</v>
      </c>
      <c r="U36" s="14"/>
      <c r="V36" s="334" t="e">
        <f t="shared" si="2"/>
        <v>#DIV/0!</v>
      </c>
    </row>
    <row r="37" spans="1:22" s="6" customFormat="1" ht="15">
      <c r="A37" s="222"/>
      <c r="B37" s="223"/>
      <c r="C37" s="224"/>
      <c r="D37" s="224"/>
      <c r="E37" s="223"/>
      <c r="F37" s="223"/>
      <c r="G37" s="224"/>
      <c r="H37" s="224"/>
      <c r="I37" s="224"/>
      <c r="J37" s="224"/>
      <c r="K37" s="224"/>
      <c r="L37" s="225"/>
      <c r="M37" s="323"/>
      <c r="N37" s="24">
        <f>M37*L37</f>
        <v>0</v>
      </c>
      <c r="O37" s="222">
        <f t="shared" si="0"/>
        <v>0</v>
      </c>
      <c r="P37" s="46">
        <f>L37*M37</f>
        <v>0</v>
      </c>
      <c r="Q37" s="46"/>
      <c r="R37" s="25"/>
      <c r="S37" s="368">
        <v>1</v>
      </c>
      <c r="T37" s="46">
        <f>ROUND(P37*S37,2)</f>
        <v>0</v>
      </c>
      <c r="U37" s="23">
        <f t="shared" si="1"/>
        <v>0</v>
      </c>
      <c r="V37" s="332" t="e">
        <f t="shared" si="2"/>
        <v>#DIV/0!</v>
      </c>
    </row>
    <row r="38" spans="1:22" ht="82.5" customHeight="1">
      <c r="A38" s="295" t="s">
        <v>42</v>
      </c>
      <c r="B38" s="232"/>
      <c r="C38" s="38"/>
      <c r="D38" s="38"/>
      <c r="E38" s="232"/>
      <c r="F38" s="232"/>
      <c r="G38" s="38"/>
      <c r="H38" s="38"/>
      <c r="I38" s="38"/>
      <c r="J38" s="38"/>
      <c r="K38" s="38"/>
      <c r="L38" s="233"/>
      <c r="M38" s="322">
        <f>SUM(M39:M43)</f>
        <v>45</v>
      </c>
      <c r="N38" s="15"/>
      <c r="O38" s="222" t="str">
        <f t="shared" si="0"/>
        <v>Реализация основных общеобразовательных программ начального общего образования (форма очная, адаптированная образовательная программа)</v>
      </c>
      <c r="P38" s="13"/>
      <c r="Q38" s="13"/>
      <c r="R38" s="7"/>
      <c r="S38" s="356"/>
      <c r="T38" s="227">
        <f>T39+T40+T41+T42+T43</f>
        <v>4489681.5600000005</v>
      </c>
      <c r="U38" s="14"/>
      <c r="V38" s="334">
        <f t="shared" si="2"/>
        <v>0</v>
      </c>
    </row>
    <row r="39" spans="1:22" s="6" customFormat="1" ht="15">
      <c r="A39" s="319" t="s">
        <v>30</v>
      </c>
      <c r="B39" s="232">
        <v>80591.761390319909</v>
      </c>
      <c r="C39" s="224">
        <v>0</v>
      </c>
      <c r="D39" s="224">
        <v>737.93103448275861</v>
      </c>
      <c r="E39" s="232">
        <v>0</v>
      </c>
      <c r="F39" s="232">
        <v>0</v>
      </c>
      <c r="G39" s="224">
        <v>0</v>
      </c>
      <c r="H39" s="224">
        <v>0</v>
      </c>
      <c r="I39" s="224">
        <v>0</v>
      </c>
      <c r="J39" s="224">
        <v>13023.148124742409</v>
      </c>
      <c r="K39" s="224">
        <v>2992.9386828422876</v>
      </c>
      <c r="L39" s="233">
        <v>97345.779232387358</v>
      </c>
      <c r="M39" s="323">
        <v>19</v>
      </c>
      <c r="N39" s="24">
        <f>M39*L39</f>
        <v>1849569.8054153598</v>
      </c>
      <c r="O39" s="222" t="str">
        <f t="shared" si="0"/>
        <v>ССШ №1</v>
      </c>
      <c r="P39" s="27">
        <f>M39*L40</f>
        <v>1563772.8773565767</v>
      </c>
      <c r="Q39" s="23"/>
      <c r="R39" s="25"/>
      <c r="S39" s="368">
        <v>1.1827611471400885</v>
      </c>
      <c r="T39" s="46">
        <f>ROUND(P39*S39,2)</f>
        <v>1849569.8</v>
      </c>
      <c r="U39" s="23">
        <f t="shared" si="1"/>
        <v>5.4153597448021173E-3</v>
      </c>
      <c r="V39" s="332">
        <f t="shared" si="2"/>
        <v>1.0000000029279024</v>
      </c>
    </row>
    <row r="40" spans="1:22" s="21" customFormat="1" ht="15">
      <c r="A40" s="329" t="s">
        <v>31</v>
      </c>
      <c r="B40" s="257">
        <v>67984.816198915578</v>
      </c>
      <c r="C40" s="237">
        <v>0</v>
      </c>
      <c r="D40" s="237">
        <v>0</v>
      </c>
      <c r="E40" s="257">
        <v>0</v>
      </c>
      <c r="F40" s="257">
        <v>1506.7501659751035</v>
      </c>
      <c r="G40" s="237">
        <v>0</v>
      </c>
      <c r="H40" s="237">
        <v>0</v>
      </c>
      <c r="I40" s="237">
        <v>298.16513761467888</v>
      </c>
      <c r="J40" s="237">
        <v>9805.1851851851861</v>
      </c>
      <c r="K40" s="237">
        <v>2708.9189626556017</v>
      </c>
      <c r="L40" s="296">
        <v>82303.83565034614</v>
      </c>
      <c r="M40" s="330">
        <v>20</v>
      </c>
      <c r="N40" s="19">
        <f t="shared" ref="N40:N43" si="13">M40*L40</f>
        <v>1646076.7130069227</v>
      </c>
      <c r="O40" s="329" t="str">
        <f t="shared" si="0"/>
        <v>ССШ №2</v>
      </c>
      <c r="P40" s="18">
        <f>M40*L40</f>
        <v>1646076.7130069227</v>
      </c>
      <c r="Q40" s="18"/>
      <c r="R40" s="20"/>
      <c r="S40" s="369">
        <v>1.000000001826721</v>
      </c>
      <c r="T40" s="26">
        <f>ROUND(P40*S40,2)</f>
        <v>1646076.72</v>
      </c>
      <c r="U40" s="18">
        <f t="shared" si="1"/>
        <v>-6.9930772297084332E-3</v>
      </c>
      <c r="V40" s="336">
        <f t="shared" si="2"/>
        <v>0.99999999575166998</v>
      </c>
    </row>
    <row r="41" spans="1:22" s="302" customFormat="1" ht="15">
      <c r="A41" s="351" t="s">
        <v>60</v>
      </c>
      <c r="B41" s="232">
        <v>76646.233241758411</v>
      </c>
      <c r="C41" s="352">
        <v>0</v>
      </c>
      <c r="D41" s="352">
        <v>0</v>
      </c>
      <c r="E41" s="232">
        <v>0</v>
      </c>
      <c r="F41" s="232">
        <v>0</v>
      </c>
      <c r="G41" s="352">
        <v>0</v>
      </c>
      <c r="H41" s="352">
        <v>0</v>
      </c>
      <c r="I41" s="352">
        <v>0</v>
      </c>
      <c r="J41" s="352">
        <v>10761.74882912081</v>
      </c>
      <c r="K41" s="352">
        <v>4437.0364372469639</v>
      </c>
      <c r="L41" s="233">
        <v>91845.018508126188</v>
      </c>
      <c r="M41" s="323">
        <v>4</v>
      </c>
      <c r="N41" s="305">
        <f t="shared" si="13"/>
        <v>367380.07403250475</v>
      </c>
      <c r="O41" s="351" t="str">
        <f t="shared" si="0"/>
        <v>ТСШ №3</v>
      </c>
      <c r="P41" s="27">
        <f>M41*L40</f>
        <v>329215.34260138456</v>
      </c>
      <c r="Q41" s="27"/>
      <c r="R41" s="307"/>
      <c r="S41" s="370">
        <v>1.1159263539557565</v>
      </c>
      <c r="T41" s="354">
        <f>ROUND(P41*S41,2)</f>
        <v>367380.08</v>
      </c>
      <c r="U41" s="27">
        <f t="shared" si="1"/>
        <v>-5.9674952644854784E-3</v>
      </c>
      <c r="V41" s="332">
        <f t="shared" si="2"/>
        <v>0.99999998375661725</v>
      </c>
    </row>
    <row r="42" spans="1:22" s="6" customFormat="1" ht="15">
      <c r="A42" s="319" t="s">
        <v>61</v>
      </c>
      <c r="B42" s="232">
        <v>251456.95348836973</v>
      </c>
      <c r="C42" s="224">
        <v>0</v>
      </c>
      <c r="D42" s="224">
        <v>0</v>
      </c>
      <c r="E42" s="232">
        <v>0</v>
      </c>
      <c r="F42" s="232">
        <v>0</v>
      </c>
      <c r="G42" s="224">
        <v>0</v>
      </c>
      <c r="H42" s="224">
        <v>0</v>
      </c>
      <c r="I42" s="224">
        <v>0</v>
      </c>
      <c r="J42" s="224">
        <v>34854.182628258975</v>
      </c>
      <c r="K42" s="224">
        <v>4418.8598275862068</v>
      </c>
      <c r="L42" s="233">
        <v>290729.99594421493</v>
      </c>
      <c r="M42" s="323">
        <v>1</v>
      </c>
      <c r="N42" s="24">
        <f t="shared" si="13"/>
        <v>290729.99594421493</v>
      </c>
      <c r="O42" s="222" t="str">
        <f t="shared" si="0"/>
        <v>БСШ №5</v>
      </c>
      <c r="P42" s="27">
        <f>M42*L40</f>
        <v>82303.83565034614</v>
      </c>
      <c r="Q42" s="23"/>
      <c r="R42" s="25"/>
      <c r="S42" s="368">
        <v>3.5323989250588421</v>
      </c>
      <c r="T42" s="46">
        <f>ROUND(P42*S42,2)</f>
        <v>290729.98</v>
      </c>
      <c r="U42" s="23">
        <f t="shared" si="1"/>
        <v>1.594421494519338E-2</v>
      </c>
      <c r="V42" s="332">
        <f t="shared" si="2"/>
        <v>1.0000000548420047</v>
      </c>
    </row>
    <row r="43" spans="1:22" s="6" customFormat="1" ht="15">
      <c r="A43" s="319" t="s">
        <v>262</v>
      </c>
      <c r="B43" s="232">
        <v>303179.91183673474</v>
      </c>
      <c r="C43" s="224">
        <v>0</v>
      </c>
      <c r="D43" s="224">
        <v>0</v>
      </c>
      <c r="E43" s="232">
        <v>0</v>
      </c>
      <c r="F43" s="232">
        <v>0</v>
      </c>
      <c r="G43" s="224">
        <v>0</v>
      </c>
      <c r="H43" s="224">
        <v>0</v>
      </c>
      <c r="I43" s="224">
        <v>0</v>
      </c>
      <c r="J43" s="224">
        <v>22699.967139393979</v>
      </c>
      <c r="K43" s="224">
        <v>10045.114454545454</v>
      </c>
      <c r="L43" s="233">
        <v>335924.99343067413</v>
      </c>
      <c r="M43" s="323">
        <v>1</v>
      </c>
      <c r="N43" s="15">
        <f t="shared" si="13"/>
        <v>335924.99343067413</v>
      </c>
      <c r="O43" s="222" t="str">
        <f>A43</f>
        <v>НСШ №6</v>
      </c>
      <c r="P43" s="27">
        <f>M43*L40</f>
        <v>82303.83565034614</v>
      </c>
      <c r="Q43" s="23"/>
      <c r="R43" s="25"/>
      <c r="S43" s="368">
        <v>4.0815227264083198</v>
      </c>
      <c r="T43" s="48">
        <f>ROUND(P43*S43,2)</f>
        <v>335924.98</v>
      </c>
      <c r="U43" s="23">
        <f t="shared" si="1"/>
        <v>1.3430674152914435E-2</v>
      </c>
      <c r="V43" s="332">
        <f t="shared" si="2"/>
        <v>1.0000000399811713</v>
      </c>
    </row>
    <row r="44" spans="1:22" ht="78" customHeight="1">
      <c r="A44" s="295" t="s">
        <v>43</v>
      </c>
      <c r="B44" s="232"/>
      <c r="C44" s="38"/>
      <c r="D44" s="38"/>
      <c r="E44" s="232"/>
      <c r="F44" s="232"/>
      <c r="G44" s="38"/>
      <c r="H44" s="38"/>
      <c r="I44" s="38"/>
      <c r="J44" s="38"/>
      <c r="K44" s="38"/>
      <c r="L44" s="233"/>
      <c r="M44" s="322">
        <f>M45+M46+M47</f>
        <v>26</v>
      </c>
      <c r="N44" s="15"/>
      <c r="O44" s="222" t="str">
        <f t="shared" si="0"/>
        <v>Реализация основных общеобразовательных программ основного общего образования (форма очная, адаптированная образовательная программа)</v>
      </c>
      <c r="P44" s="13"/>
      <c r="Q44" s="13"/>
      <c r="R44" s="7"/>
      <c r="S44" s="356"/>
      <c r="T44" s="227">
        <f>T46+T45+T47</f>
        <v>2307941.19</v>
      </c>
      <c r="U44" s="14"/>
      <c r="V44" s="334">
        <f t="shared" si="2"/>
        <v>0</v>
      </c>
    </row>
    <row r="45" spans="1:22" s="6" customFormat="1" ht="15">
      <c r="A45" s="319" t="s">
        <v>30</v>
      </c>
      <c r="B45" s="232">
        <v>80591.761390319909</v>
      </c>
      <c r="C45" s="224">
        <v>0</v>
      </c>
      <c r="D45" s="224">
        <v>737.93103448275861</v>
      </c>
      <c r="E45" s="232">
        <v>0</v>
      </c>
      <c r="F45" s="232">
        <v>0</v>
      </c>
      <c r="G45" s="224">
        <v>0</v>
      </c>
      <c r="H45" s="224">
        <v>0</v>
      </c>
      <c r="I45" s="224">
        <v>0</v>
      </c>
      <c r="J45" s="224">
        <v>13023.148124742409</v>
      </c>
      <c r="K45" s="224">
        <v>2992.9386828422876</v>
      </c>
      <c r="L45" s="233">
        <v>97345.779232387358</v>
      </c>
      <c r="M45" s="323">
        <v>8</v>
      </c>
      <c r="N45" s="24">
        <f>M45*L45</f>
        <v>778766.23385909887</v>
      </c>
      <c r="O45" s="222" t="str">
        <f t="shared" si="0"/>
        <v>ССШ №1</v>
      </c>
      <c r="P45" s="23">
        <f>M45*L46</f>
        <v>658430.68520276912</v>
      </c>
      <c r="Q45" s="23"/>
      <c r="R45" s="25"/>
      <c r="S45" s="358">
        <v>1.1827611405220175</v>
      </c>
      <c r="T45" s="46">
        <f>ROUND(P45*S45,2)</f>
        <v>778766.23</v>
      </c>
      <c r="U45" s="23">
        <f t="shared" ref="U45" si="14">N45-T45</f>
        <v>3.8590988842770457E-3</v>
      </c>
      <c r="V45" s="332">
        <f t="shared" si="2"/>
        <v>1.000000004955401</v>
      </c>
    </row>
    <row r="46" spans="1:22" s="21" customFormat="1" ht="15">
      <c r="A46" s="329" t="s">
        <v>31</v>
      </c>
      <c r="B46" s="257">
        <v>67984.816198915578</v>
      </c>
      <c r="C46" s="237">
        <v>0</v>
      </c>
      <c r="D46" s="237">
        <v>0</v>
      </c>
      <c r="E46" s="257">
        <v>0</v>
      </c>
      <c r="F46" s="257">
        <v>1506.7501659751035</v>
      </c>
      <c r="G46" s="237">
        <v>0</v>
      </c>
      <c r="H46" s="237">
        <v>0</v>
      </c>
      <c r="I46" s="237">
        <v>298.16513761467888</v>
      </c>
      <c r="J46" s="237">
        <v>9805.1851851851861</v>
      </c>
      <c r="K46" s="237">
        <v>2708.9189626556017</v>
      </c>
      <c r="L46" s="296">
        <v>82303.83565034614</v>
      </c>
      <c r="M46" s="330">
        <v>13</v>
      </c>
      <c r="N46" s="19">
        <f t="shared" ref="N46:N48" si="15">M46*L46</f>
        <v>1069949.8634544997</v>
      </c>
      <c r="O46" s="329" t="str">
        <f t="shared" si="0"/>
        <v>ССШ №2</v>
      </c>
      <c r="P46" s="18">
        <f>M46*L46</f>
        <v>1069949.8634544997</v>
      </c>
      <c r="Q46" s="18"/>
      <c r="R46" s="20"/>
      <c r="S46" s="369">
        <v>1.0000000032286556</v>
      </c>
      <c r="T46" s="26">
        <f>ROUND(P46*S46,2)</f>
        <v>1069949.8700000001</v>
      </c>
      <c r="U46" s="18">
        <f t="shared" si="1"/>
        <v>-6.5455003641545773E-3</v>
      </c>
      <c r="V46" s="336">
        <f t="shared" si="2"/>
        <v>0.99999999388242333</v>
      </c>
    </row>
    <row r="47" spans="1:22" s="302" customFormat="1" ht="15">
      <c r="A47" s="351" t="s">
        <v>60</v>
      </c>
      <c r="B47" s="232">
        <v>76646.233241758411</v>
      </c>
      <c r="C47" s="352">
        <v>0</v>
      </c>
      <c r="D47" s="352">
        <v>0</v>
      </c>
      <c r="E47" s="232">
        <v>0</v>
      </c>
      <c r="F47" s="232">
        <v>0</v>
      </c>
      <c r="G47" s="352">
        <v>0</v>
      </c>
      <c r="H47" s="352">
        <v>0</v>
      </c>
      <c r="I47" s="352">
        <v>0</v>
      </c>
      <c r="J47" s="352">
        <v>10761.74882912081</v>
      </c>
      <c r="K47" s="352">
        <v>4437.0364372469639</v>
      </c>
      <c r="L47" s="233">
        <v>91845.018508126188</v>
      </c>
      <c r="M47" s="353">
        <v>5</v>
      </c>
      <c r="N47" s="305">
        <f t="shared" si="15"/>
        <v>459225.09254063095</v>
      </c>
      <c r="O47" s="351" t="str">
        <f t="shared" si="0"/>
        <v>ТСШ №3</v>
      </c>
      <c r="P47" s="27">
        <f>M47*L46</f>
        <v>411519.17825173069</v>
      </c>
      <c r="Q47" s="27"/>
      <c r="R47" s="307"/>
      <c r="S47" s="370">
        <v>1.1159263403971376</v>
      </c>
      <c r="T47" s="354">
        <f>ROUND(P47*S47,2)</f>
        <v>459225.09</v>
      </c>
      <c r="U47" s="27">
        <f t="shared" si="1"/>
        <v>2.5406309287063777E-3</v>
      </c>
      <c r="V47" s="355">
        <f t="shared" si="2"/>
        <v>1.0000000055324305</v>
      </c>
    </row>
    <row r="48" spans="1:22" s="6" customFormat="1" ht="15">
      <c r="A48" s="319" t="s">
        <v>262</v>
      </c>
      <c r="B48" s="232"/>
      <c r="C48" s="224"/>
      <c r="D48" s="224"/>
      <c r="E48" s="232"/>
      <c r="F48" s="232"/>
      <c r="G48" s="224"/>
      <c r="H48" s="224"/>
      <c r="I48" s="224"/>
      <c r="J48" s="224"/>
      <c r="K48" s="224"/>
      <c r="L48" s="233"/>
      <c r="M48" s="323"/>
      <c r="N48" s="15">
        <f t="shared" si="15"/>
        <v>0</v>
      </c>
      <c r="O48" s="222" t="str">
        <f>A48</f>
        <v>НСШ №6</v>
      </c>
      <c r="P48" s="23">
        <f>M48*L46</f>
        <v>0</v>
      </c>
      <c r="Q48" s="23"/>
      <c r="R48" s="25"/>
      <c r="S48" s="368">
        <v>2.4946991284475217</v>
      </c>
      <c r="T48" s="48">
        <f>ROUND(P48*S48,2)</f>
        <v>0</v>
      </c>
      <c r="U48" s="23">
        <f t="shared" ref="U48" si="16">N48-T48</f>
        <v>0</v>
      </c>
      <c r="V48" s="334" t="e">
        <f t="shared" ref="V48" si="17">N48/T48</f>
        <v>#DIV/0!</v>
      </c>
    </row>
    <row r="49" spans="1:24" ht="78" customHeight="1">
      <c r="A49" s="295" t="s">
        <v>288</v>
      </c>
      <c r="B49" s="232"/>
      <c r="C49" s="38"/>
      <c r="D49" s="38"/>
      <c r="E49" s="232"/>
      <c r="F49" s="232"/>
      <c r="G49" s="38"/>
      <c r="H49" s="38"/>
      <c r="I49" s="38"/>
      <c r="J49" s="38"/>
      <c r="K49" s="38"/>
      <c r="L49" s="233"/>
      <c r="M49" s="322">
        <f>M50</f>
        <v>1</v>
      </c>
      <c r="N49" s="15"/>
      <c r="O49" s="222" t="str">
        <f t="shared" ref="O49:O50" si="18">A49</f>
        <v>Реализация основных общеобразовательных программ среднего общего образования (форма очная, адаптированная образовательная программа)</v>
      </c>
      <c r="P49" s="13"/>
      <c r="Q49" s="13"/>
      <c r="R49" s="7"/>
      <c r="S49" s="356"/>
      <c r="T49" s="227">
        <f>T51+T50+T52</f>
        <v>284010.28000000003</v>
      </c>
      <c r="U49" s="14"/>
      <c r="V49" s="334">
        <f t="shared" ref="V49:V50" si="19">N49/T49</f>
        <v>0</v>
      </c>
    </row>
    <row r="50" spans="1:24" s="21" customFormat="1" ht="24.75" customHeight="1">
      <c r="A50" s="329" t="s">
        <v>30</v>
      </c>
      <c r="B50" s="257">
        <v>80591.761390319909</v>
      </c>
      <c r="C50" s="237">
        <v>0</v>
      </c>
      <c r="D50" s="237">
        <v>737.93103448275861</v>
      </c>
      <c r="E50" s="257">
        <v>0</v>
      </c>
      <c r="F50" s="257">
        <v>0</v>
      </c>
      <c r="G50" s="237">
        <v>0</v>
      </c>
      <c r="H50" s="237">
        <v>0</v>
      </c>
      <c r="I50" s="237">
        <v>0</v>
      </c>
      <c r="J50" s="237">
        <v>13023.148124742409</v>
      </c>
      <c r="K50" s="237">
        <v>2992.9386828422876</v>
      </c>
      <c r="L50" s="296">
        <v>97345.779232387358</v>
      </c>
      <c r="M50" s="330">
        <v>1</v>
      </c>
      <c r="N50" s="19">
        <f>M50*L50</f>
        <v>97345.779232387358</v>
      </c>
      <c r="O50" s="329" t="str">
        <f t="shared" si="18"/>
        <v>ССШ №1</v>
      </c>
      <c r="P50" s="18">
        <f>M50*L50</f>
        <v>97345.779232387358</v>
      </c>
      <c r="Q50" s="18"/>
      <c r="R50" s="20"/>
      <c r="S50" s="369">
        <v>1</v>
      </c>
      <c r="T50" s="26">
        <f>ROUND(P50*S50,2)</f>
        <v>97345.78</v>
      </c>
      <c r="U50" s="18">
        <f t="shared" ref="U50" si="20">N50-T50</f>
        <v>-7.676126406295225E-4</v>
      </c>
      <c r="V50" s="336">
        <f t="shared" si="19"/>
        <v>0.99999999211457713</v>
      </c>
    </row>
    <row r="51" spans="1:24" ht="97.5" customHeight="1">
      <c r="A51" s="295" t="s">
        <v>44</v>
      </c>
      <c r="B51" s="232"/>
      <c r="C51" s="38"/>
      <c r="D51" s="38"/>
      <c r="E51" s="232"/>
      <c r="F51" s="232"/>
      <c r="G51" s="38"/>
      <c r="H51" s="38"/>
      <c r="I51" s="38"/>
      <c r="J51" s="38"/>
      <c r="K51" s="38"/>
      <c r="L51" s="233"/>
      <c r="M51" s="322">
        <f>SUM(M52:M54)</f>
        <v>3</v>
      </c>
      <c r="N51" s="15"/>
      <c r="O51" s="222" t="str">
        <f t="shared" si="0"/>
        <v>Реализация основных общеобразовательных программ начального общего образования (форма обучения на дому, адаптированная образовательная программа)</v>
      </c>
      <c r="P51" s="13"/>
      <c r="Q51" s="13"/>
      <c r="R51" s="7"/>
      <c r="S51" s="356"/>
      <c r="T51" s="227">
        <f>T52+T53+T54</f>
        <v>186664.5</v>
      </c>
      <c r="U51" s="14"/>
      <c r="V51" s="334">
        <f t="shared" si="2"/>
        <v>0</v>
      </c>
    </row>
    <row r="52" spans="1:24" s="6" customFormat="1" ht="15">
      <c r="A52" s="319" t="s">
        <v>30</v>
      </c>
      <c r="B52" s="223"/>
      <c r="C52" s="224"/>
      <c r="D52" s="224"/>
      <c r="E52" s="223"/>
      <c r="F52" s="223"/>
      <c r="G52" s="224"/>
      <c r="H52" s="224"/>
      <c r="I52" s="224"/>
      <c r="J52" s="224"/>
      <c r="K52" s="224"/>
      <c r="L52" s="225"/>
      <c r="M52" s="323"/>
      <c r="N52" s="15">
        <f>M52*L52</f>
        <v>0</v>
      </c>
      <c r="O52" s="222" t="str">
        <f t="shared" si="0"/>
        <v>ССШ №1</v>
      </c>
      <c r="P52" s="23">
        <f>L54*M52</f>
        <v>0</v>
      </c>
      <c r="Q52" s="23"/>
      <c r="R52" s="25"/>
      <c r="S52" s="368">
        <v>0</v>
      </c>
      <c r="T52" s="48">
        <f>ROUND(P52*S52,2)</f>
        <v>0</v>
      </c>
      <c r="U52" s="23">
        <f t="shared" si="1"/>
        <v>0</v>
      </c>
      <c r="V52" s="334" t="e">
        <f t="shared" si="2"/>
        <v>#DIV/0!</v>
      </c>
    </row>
    <row r="53" spans="1:24" s="21" customFormat="1" ht="15">
      <c r="A53" s="329" t="s">
        <v>31</v>
      </c>
      <c r="B53" s="257">
        <v>51422.784380733756</v>
      </c>
      <c r="C53" s="237">
        <v>0</v>
      </c>
      <c r="D53" s="237">
        <v>695.36423841059604</v>
      </c>
      <c r="E53" s="257">
        <v>0</v>
      </c>
      <c r="F53" s="257">
        <v>0</v>
      </c>
      <c r="G53" s="237">
        <v>0</v>
      </c>
      <c r="H53" s="237">
        <v>0</v>
      </c>
      <c r="I53" s="237">
        <v>298.16513761467888</v>
      </c>
      <c r="J53" s="237">
        <v>9805.1851851851861</v>
      </c>
      <c r="K53" s="237">
        <v>0</v>
      </c>
      <c r="L53" s="296">
        <v>62221.498941944214</v>
      </c>
      <c r="M53" s="330">
        <v>3</v>
      </c>
      <c r="N53" s="19">
        <f>M53*L53</f>
        <v>186664.49682583264</v>
      </c>
      <c r="O53" s="329" t="str">
        <f t="shared" si="0"/>
        <v>ССШ №2</v>
      </c>
      <c r="P53" s="18">
        <f>M53*L53</f>
        <v>186664.49682583264</v>
      </c>
      <c r="Q53" s="18"/>
      <c r="R53" s="20"/>
      <c r="S53" s="369">
        <v>1.0000000388438268</v>
      </c>
      <c r="T53" s="26">
        <f>ROUND(P53*S53,2)</f>
        <v>186664.5</v>
      </c>
      <c r="U53" s="18">
        <f t="shared" si="1"/>
        <v>-3.1741673592478037E-3</v>
      </c>
      <c r="V53" s="336">
        <f t="shared" si="2"/>
        <v>0.99999998299533466</v>
      </c>
    </row>
    <row r="54" spans="1:24" s="6" customFormat="1" ht="15">
      <c r="A54" s="319" t="s">
        <v>60</v>
      </c>
      <c r="B54" s="223"/>
      <c r="C54" s="224"/>
      <c r="D54" s="224"/>
      <c r="E54" s="223"/>
      <c r="F54" s="223"/>
      <c r="G54" s="224"/>
      <c r="H54" s="224"/>
      <c r="I54" s="224"/>
      <c r="J54" s="224"/>
      <c r="K54" s="224"/>
      <c r="L54" s="225"/>
      <c r="M54" s="323"/>
      <c r="N54" s="24">
        <f>M54*L54</f>
        <v>0</v>
      </c>
      <c r="O54" s="222" t="s">
        <v>60</v>
      </c>
      <c r="P54" s="23">
        <f>M54*L53</f>
        <v>0</v>
      </c>
      <c r="Q54" s="23"/>
      <c r="R54" s="25"/>
      <c r="S54" s="368">
        <v>0</v>
      </c>
      <c r="T54" s="46">
        <f>ROUND(P54*S54,2)</f>
        <v>0</v>
      </c>
      <c r="U54" s="23">
        <f t="shared" si="1"/>
        <v>0</v>
      </c>
      <c r="V54" s="343" t="e">
        <f t="shared" si="2"/>
        <v>#DIV/0!</v>
      </c>
    </row>
    <row r="55" spans="1:24" ht="83.25" customHeight="1">
      <c r="A55" s="295" t="s">
        <v>45</v>
      </c>
      <c r="B55" s="232"/>
      <c r="C55" s="38"/>
      <c r="D55" s="38"/>
      <c r="E55" s="232"/>
      <c r="F55" s="232"/>
      <c r="G55" s="38"/>
      <c r="H55" s="38"/>
      <c r="I55" s="38"/>
      <c r="J55" s="38"/>
      <c r="K55" s="38"/>
      <c r="L55" s="233"/>
      <c r="M55" s="322">
        <f>SUM(M56:M58)</f>
        <v>4</v>
      </c>
      <c r="N55" s="15"/>
      <c r="O55" s="222" t="str">
        <f t="shared" si="0"/>
        <v>Реализация основных общеобразовательных программ основного общего образования (форма обучения на дому, адаптированная образовательная программа)</v>
      </c>
      <c r="P55" s="13"/>
      <c r="Q55" s="13"/>
      <c r="R55" s="7"/>
      <c r="S55" s="356"/>
      <c r="T55" s="227">
        <f>T56+T57</f>
        <v>278913.58999999997</v>
      </c>
      <c r="U55" s="14"/>
      <c r="V55" s="334">
        <f t="shared" si="2"/>
        <v>0</v>
      </c>
    </row>
    <row r="56" spans="1:24" s="6" customFormat="1" ht="15">
      <c r="A56" s="319" t="s">
        <v>30</v>
      </c>
      <c r="B56" s="223">
        <v>61364.104019801991</v>
      </c>
      <c r="C56" s="224">
        <v>0</v>
      </c>
      <c r="D56" s="224">
        <v>737.93103448275861</v>
      </c>
      <c r="E56" s="223">
        <v>0</v>
      </c>
      <c r="F56" s="223">
        <v>0</v>
      </c>
      <c r="G56" s="224">
        <v>0</v>
      </c>
      <c r="H56" s="224">
        <v>0</v>
      </c>
      <c r="I56" s="224">
        <v>0</v>
      </c>
      <c r="J56" s="224">
        <v>10128.662068965516</v>
      </c>
      <c r="K56" s="224">
        <v>0</v>
      </c>
      <c r="L56" s="225">
        <v>72230.697123250269</v>
      </c>
      <c r="M56" s="323">
        <v>3</v>
      </c>
      <c r="N56" s="24">
        <f>M56*L56</f>
        <v>216692.09136975079</v>
      </c>
      <c r="O56" s="222" t="str">
        <f t="shared" si="0"/>
        <v>ССШ №1</v>
      </c>
      <c r="P56" s="23">
        <f>M56*L57</f>
        <v>186664.49682583264</v>
      </c>
      <c r="Q56" s="23"/>
      <c r="R56" s="25"/>
      <c r="S56" s="368">
        <v>1.1608639637946734</v>
      </c>
      <c r="T56" s="46">
        <f>ROUND(P56*S56,2)</f>
        <v>216692.09</v>
      </c>
      <c r="U56" s="23">
        <f t="shared" si="1"/>
        <v>1.3697507965844125E-3</v>
      </c>
      <c r="V56" s="355">
        <f t="shared" si="2"/>
        <v>1.0000000063211851</v>
      </c>
    </row>
    <row r="57" spans="1:24" s="21" customFormat="1" ht="15">
      <c r="A57" s="329" t="s">
        <v>31</v>
      </c>
      <c r="B57" s="257">
        <v>51422.784380733756</v>
      </c>
      <c r="C57" s="237">
        <v>0</v>
      </c>
      <c r="D57" s="237">
        <v>695.36423841059604</v>
      </c>
      <c r="E57" s="257">
        <v>0</v>
      </c>
      <c r="F57" s="257">
        <v>0</v>
      </c>
      <c r="G57" s="237">
        <v>0</v>
      </c>
      <c r="H57" s="237">
        <v>0</v>
      </c>
      <c r="I57" s="237">
        <v>298.16513761467888</v>
      </c>
      <c r="J57" s="237">
        <v>9805.1851851851861</v>
      </c>
      <c r="K57" s="237">
        <v>0</v>
      </c>
      <c r="L57" s="296">
        <v>62221.498941944214</v>
      </c>
      <c r="M57" s="330">
        <v>1</v>
      </c>
      <c r="N57" s="19">
        <f>M57*L57</f>
        <v>62221.498941944214</v>
      </c>
      <c r="O57" s="329" t="str">
        <f t="shared" si="0"/>
        <v>ССШ №2</v>
      </c>
      <c r="P57" s="18">
        <f>M57*L57</f>
        <v>62221.498941944214</v>
      </c>
      <c r="Q57" s="18"/>
      <c r="R57" s="20"/>
      <c r="S57" s="369">
        <v>1</v>
      </c>
      <c r="T57" s="26">
        <f>ROUND(P57*S57,2)</f>
        <v>62221.5</v>
      </c>
      <c r="U57" s="18">
        <f t="shared" si="1"/>
        <v>-1.0580557864159346E-3</v>
      </c>
      <c r="V57" s="336">
        <f t="shared" si="2"/>
        <v>0.99999998299533466</v>
      </c>
    </row>
    <row r="58" spans="1:24" s="6" customFormat="1" ht="15">
      <c r="A58" s="319" t="s">
        <v>60</v>
      </c>
      <c r="B58" s="223"/>
      <c r="C58" s="224"/>
      <c r="D58" s="224"/>
      <c r="E58" s="223"/>
      <c r="F58" s="223"/>
      <c r="G58" s="224"/>
      <c r="H58" s="224"/>
      <c r="I58" s="224"/>
      <c r="J58" s="224"/>
      <c r="K58" s="224"/>
      <c r="L58" s="225"/>
      <c r="M58" s="323">
        <v>0</v>
      </c>
      <c r="N58" s="24">
        <f t="shared" ref="N58" si="21">M58*L58</f>
        <v>0</v>
      </c>
      <c r="O58" s="222" t="str">
        <f t="shared" ref="O58" si="22">A58</f>
        <v>ТСШ №3</v>
      </c>
      <c r="P58" s="27">
        <f>M58*L58</f>
        <v>0</v>
      </c>
      <c r="Q58" s="23"/>
      <c r="R58" s="25"/>
      <c r="S58" s="368">
        <v>0</v>
      </c>
      <c r="T58" s="46">
        <f>ROUND(P58*S58,2)</f>
        <v>0</v>
      </c>
      <c r="U58" s="23">
        <f t="shared" ref="U58" si="23">N58-T58</f>
        <v>0</v>
      </c>
      <c r="V58" s="332" t="e">
        <f t="shared" ref="V58" si="24">N58/T58</f>
        <v>#DIV/0!</v>
      </c>
    </row>
    <row r="59" spans="1:24" ht="97.5" customHeight="1">
      <c r="A59" s="295" t="s">
        <v>46</v>
      </c>
      <c r="B59" s="232"/>
      <c r="C59" s="38"/>
      <c r="D59" s="38"/>
      <c r="E59" s="232"/>
      <c r="F59" s="232"/>
      <c r="G59" s="38"/>
      <c r="H59" s="38"/>
      <c r="I59" s="38"/>
      <c r="J59" s="38"/>
      <c r="K59" s="38"/>
      <c r="L59" s="233"/>
      <c r="M59" s="321"/>
      <c r="N59" s="15"/>
      <c r="O59" s="222" t="str">
        <f t="shared" si="0"/>
        <v>Реализация основных общеобразовательных программ среднего общего образования (форма обучения на дому, адаптированная образовательная программа)</v>
      </c>
      <c r="P59" s="13"/>
      <c r="Q59" s="13"/>
      <c r="R59" s="7"/>
      <c r="S59" s="356"/>
      <c r="T59" s="47">
        <f>T60+T62</f>
        <v>0</v>
      </c>
      <c r="U59" s="14">
        <f t="shared" si="1"/>
        <v>0</v>
      </c>
      <c r="V59" s="334" t="e">
        <f t="shared" si="2"/>
        <v>#DIV/0!</v>
      </c>
    </row>
    <row r="60" spans="1:24" s="6" customFormat="1" ht="15">
      <c r="A60" s="222"/>
      <c r="B60" s="223"/>
      <c r="C60" s="224"/>
      <c r="D60" s="224"/>
      <c r="E60" s="223"/>
      <c r="F60" s="223"/>
      <c r="G60" s="224"/>
      <c r="H60" s="224"/>
      <c r="I60" s="224"/>
      <c r="J60" s="224"/>
      <c r="K60" s="224"/>
      <c r="L60" s="225">
        <f t="shared" ref="L60:L62" si="25">B60+C60+D60+E60+F60+G60+H60+I60+J60+K60</f>
        <v>0</v>
      </c>
      <c r="M60" s="323"/>
      <c r="N60" s="15">
        <f t="shared" ref="N60:N61" si="26">M60*L60</f>
        <v>0</v>
      </c>
      <c r="O60" s="222" t="s">
        <v>33</v>
      </c>
      <c r="P60" s="28">
        <f>M60*L61</f>
        <v>0</v>
      </c>
      <c r="Q60" s="28"/>
      <c r="R60" s="25"/>
      <c r="S60" s="368">
        <v>1</v>
      </c>
      <c r="T60" s="48">
        <f t="shared" ref="T60:T62" si="27">ROUND(P60*S60,0)</f>
        <v>0</v>
      </c>
      <c r="U60" s="23">
        <f t="shared" si="1"/>
        <v>0</v>
      </c>
      <c r="V60" s="334" t="e">
        <f t="shared" si="2"/>
        <v>#DIV/0!</v>
      </c>
    </row>
    <row r="61" spans="1:24" s="6" customFormat="1" ht="15">
      <c r="A61" s="222"/>
      <c r="B61" s="223"/>
      <c r="C61" s="224"/>
      <c r="D61" s="224"/>
      <c r="E61" s="223"/>
      <c r="F61" s="223"/>
      <c r="G61" s="224"/>
      <c r="H61" s="224"/>
      <c r="I61" s="224"/>
      <c r="J61" s="224"/>
      <c r="K61" s="224"/>
      <c r="L61" s="225">
        <f t="shared" si="25"/>
        <v>0</v>
      </c>
      <c r="M61" s="323"/>
      <c r="N61" s="24">
        <f t="shared" si="26"/>
        <v>0</v>
      </c>
      <c r="O61" s="222" t="s">
        <v>34</v>
      </c>
      <c r="P61" s="28">
        <f>M61*L61</f>
        <v>0</v>
      </c>
      <c r="Q61" s="28"/>
      <c r="R61" s="25"/>
      <c r="S61" s="368">
        <v>1</v>
      </c>
      <c r="T61" s="46">
        <f t="shared" si="27"/>
        <v>0</v>
      </c>
      <c r="U61" s="23">
        <f t="shared" si="1"/>
        <v>0</v>
      </c>
      <c r="V61" s="332" t="e">
        <f t="shared" si="2"/>
        <v>#DIV/0!</v>
      </c>
    </row>
    <row r="62" spans="1:24" s="6" customFormat="1" ht="15">
      <c r="A62" s="222"/>
      <c r="B62" s="223"/>
      <c r="C62" s="224"/>
      <c r="D62" s="224"/>
      <c r="E62" s="223"/>
      <c r="F62" s="223"/>
      <c r="G62" s="224"/>
      <c r="H62" s="224"/>
      <c r="I62" s="224"/>
      <c r="J62" s="224"/>
      <c r="K62" s="224"/>
      <c r="L62" s="225">
        <f t="shared" si="25"/>
        <v>0</v>
      </c>
      <c r="M62" s="323">
        <v>0</v>
      </c>
      <c r="N62" s="24">
        <f>L62*M62</f>
        <v>0</v>
      </c>
      <c r="O62" s="222">
        <f t="shared" si="0"/>
        <v>0</v>
      </c>
      <c r="P62" s="23">
        <f>L62*M62</f>
        <v>0</v>
      </c>
      <c r="Q62" s="23"/>
      <c r="R62" s="25"/>
      <c r="S62" s="368">
        <v>1</v>
      </c>
      <c r="T62" s="48">
        <f t="shared" si="27"/>
        <v>0</v>
      </c>
      <c r="U62" s="23">
        <f t="shared" si="1"/>
        <v>0</v>
      </c>
      <c r="V62" s="334" t="e">
        <f t="shared" si="2"/>
        <v>#DIV/0!</v>
      </c>
    </row>
    <row r="63" spans="1:24" s="6" customFormat="1" ht="51.75">
      <c r="A63" s="222"/>
      <c r="B63" s="223"/>
      <c r="C63" s="224"/>
      <c r="D63" s="224"/>
      <c r="E63" s="223"/>
      <c r="F63" s="223"/>
      <c r="G63" s="224"/>
      <c r="H63" s="224"/>
      <c r="I63" s="224"/>
      <c r="J63" s="224"/>
      <c r="K63" s="224"/>
      <c r="L63" s="225"/>
      <c r="M63" s="323"/>
      <c r="N63" s="24"/>
      <c r="O63" s="222" t="s">
        <v>58</v>
      </c>
      <c r="P63" s="23"/>
      <c r="Q63" s="23"/>
      <c r="R63" s="25"/>
      <c r="S63" s="368"/>
      <c r="T63" s="229"/>
      <c r="U63" s="229">
        <f t="shared" si="1"/>
        <v>0</v>
      </c>
      <c r="V63" s="334" t="e">
        <f t="shared" si="2"/>
        <v>#DIV/0!</v>
      </c>
    </row>
    <row r="64" spans="1:24" ht="60.75" customHeight="1">
      <c r="A64" s="295" t="s">
        <v>57</v>
      </c>
      <c r="B64" s="232"/>
      <c r="C64" s="38"/>
      <c r="D64" s="38"/>
      <c r="E64" s="232"/>
      <c r="F64" s="232"/>
      <c r="G64" s="38"/>
      <c r="H64" s="38"/>
      <c r="I64" s="38"/>
      <c r="J64" s="38"/>
      <c r="K64" s="38"/>
      <c r="L64" s="233"/>
      <c r="M64" s="322">
        <f>M65+M66+M68</f>
        <v>98</v>
      </c>
      <c r="N64" s="15"/>
      <c r="O64" s="222" t="str">
        <f t="shared" si="0"/>
        <v>Реализация основных общеобразовательных программ дошкольного образования 3-7 лет</v>
      </c>
      <c r="P64" s="13"/>
      <c r="Q64" s="13"/>
      <c r="R64" s="7"/>
      <c r="S64" s="356"/>
      <c r="T64" s="227">
        <f>T65+T66+T68+U64</f>
        <v>17686987.93</v>
      </c>
      <c r="U64" s="227"/>
      <c r="V64" s="337">
        <f t="shared" si="2"/>
        <v>0</v>
      </c>
      <c r="W64" s="230">
        <f>'[6]ИТОГО БНЗ доу 2017'!T4+'[6]ИТОГО БНЗ доу 2017'!T7+T64</f>
        <v>69485387.099999994</v>
      </c>
      <c r="X64" s="227">
        <f>'[6]ИТОГО БНЗ доу 2017'!M5+'[6]ИТОГО БНЗ доу 2017'!M6+'[6]ИТОГО БНЗ доу 2017'!M8+'[6]ИТОГО БНЗ доу 2017'!M9+'[6]ИТОГО БНЗ доу 2017'!M10+'[6]ИТОГО БНЗ доу 2017'!M11+'[6]ИТОГО БНЗ доу 2017'!M12+M65+M66+M68</f>
        <v>618</v>
      </c>
    </row>
    <row r="65" spans="1:24" s="21" customFormat="1" ht="15">
      <c r="A65" s="329" t="s">
        <v>60</v>
      </c>
      <c r="B65" s="257">
        <v>69185.891666666721</v>
      </c>
      <c r="C65" s="237">
        <v>486.11111111111109</v>
      </c>
      <c r="D65" s="237">
        <v>835.65698361763225</v>
      </c>
      <c r="E65" s="257">
        <v>11876.290104711608</v>
      </c>
      <c r="F65" s="257">
        <v>1528.8052094240838</v>
      </c>
      <c r="G65" s="237">
        <v>0</v>
      </c>
      <c r="H65" s="237">
        <v>414.01632653061228</v>
      </c>
      <c r="I65" s="237">
        <v>110.41009463722398</v>
      </c>
      <c r="J65" s="237">
        <v>29928.696289069514</v>
      </c>
      <c r="K65" s="237">
        <v>19431.392408376963</v>
      </c>
      <c r="L65" s="296">
        <v>133797.27019414547</v>
      </c>
      <c r="M65" s="330">
        <v>72</v>
      </c>
      <c r="N65" s="19">
        <f t="shared" ref="N65:N67" si="28">M65*L65</f>
        <v>9633403.4539784733</v>
      </c>
      <c r="O65" s="329" t="str">
        <f t="shared" si="0"/>
        <v>ТСШ №3</v>
      </c>
      <c r="P65" s="18">
        <f>L$65*M65</f>
        <v>9633403.4539784733</v>
      </c>
      <c r="Q65" s="18"/>
      <c r="R65" s="20"/>
      <c r="S65" s="369">
        <v>1.0000000004129874</v>
      </c>
      <c r="T65" s="26">
        <f>ROUND(P65*S65,2)</f>
        <v>9633403.4600000009</v>
      </c>
      <c r="U65" s="284">
        <f t="shared" si="1"/>
        <v>-6.021527573466301E-3</v>
      </c>
      <c r="V65" s="336">
        <f t="shared" si="2"/>
        <v>0.99999999937493245</v>
      </c>
    </row>
    <row r="66" spans="1:24" ht="15">
      <c r="A66" s="319" t="s">
        <v>61</v>
      </c>
      <c r="B66" s="232">
        <v>111321</v>
      </c>
      <c r="C66" s="38">
        <v>416.66666666666674</v>
      </c>
      <c r="D66" s="38">
        <v>2137.4127750939342</v>
      </c>
      <c r="E66" s="232">
        <v>45104.816296239165</v>
      </c>
      <c r="F66" s="232">
        <v>7957.3298765432091</v>
      </c>
      <c r="G66" s="38">
        <v>0</v>
      </c>
      <c r="H66" s="38">
        <v>1442.0687037037037</v>
      </c>
      <c r="I66" s="38">
        <v>606.06060606060601</v>
      </c>
      <c r="J66" s="38">
        <v>121830.50406504064</v>
      </c>
      <c r="K66" s="38">
        <v>30065.178518518518</v>
      </c>
      <c r="L66" s="233">
        <v>320881.03750786645</v>
      </c>
      <c r="M66" s="321">
        <v>12</v>
      </c>
      <c r="N66" s="15">
        <f t="shared" si="28"/>
        <v>3850572.4500943972</v>
      </c>
      <c r="O66" s="222" t="str">
        <f t="shared" si="0"/>
        <v>БСШ №5</v>
      </c>
      <c r="P66" s="23">
        <f>L$65*M66</f>
        <v>1605567.2423297456</v>
      </c>
      <c r="Q66" s="27"/>
      <c r="R66" s="7"/>
      <c r="S66" s="370">
        <v>2.3982629653644385</v>
      </c>
      <c r="T66" s="48">
        <f>ROUND(P66*S66,2)</f>
        <v>3850572.46</v>
      </c>
      <c r="U66" s="14">
        <f t="shared" si="1"/>
        <v>-9.9056027829647064E-3</v>
      </c>
      <c r="V66" s="334">
        <f>N66/T66</f>
        <v>0.99999999742749868</v>
      </c>
    </row>
    <row r="67" spans="1:24" ht="15">
      <c r="A67" s="319" t="s">
        <v>262</v>
      </c>
      <c r="B67" s="232">
        <v>112939.2</v>
      </c>
      <c r="C67" s="38">
        <v>285.71428571428572</v>
      </c>
      <c r="D67" s="38">
        <v>1138.112973308504</v>
      </c>
      <c r="E67" s="232">
        <v>15240.524972059475</v>
      </c>
      <c r="F67" s="232">
        <v>4287.3182681564249</v>
      </c>
      <c r="G67" s="38">
        <v>0</v>
      </c>
      <c r="H67" s="38">
        <v>1065.95</v>
      </c>
      <c r="I67" s="38">
        <v>185.61151079136692</v>
      </c>
      <c r="J67" s="38">
        <v>74563.663290130324</v>
      </c>
      <c r="K67" s="38">
        <v>11416.627709497205</v>
      </c>
      <c r="L67" s="233">
        <v>221122.72300965761</v>
      </c>
      <c r="M67" s="321">
        <v>35</v>
      </c>
      <c r="N67" s="15">
        <f t="shared" si="28"/>
        <v>7739295.3053380167</v>
      </c>
      <c r="O67" s="222" t="str">
        <f t="shared" si="0"/>
        <v>НСШ №6</v>
      </c>
      <c r="P67" s="23">
        <f>L$65*M67</f>
        <v>4682904.4567950917</v>
      </c>
      <c r="Q67" s="27"/>
      <c r="R67" s="7"/>
      <c r="S67" s="370">
        <v>1.6526699127528253</v>
      </c>
      <c r="T67" s="48">
        <f>ROUND(P67*S67,2)</f>
        <v>7739295.2999999998</v>
      </c>
      <c r="U67" s="14">
        <f t="shared" ref="U67" si="29">N67-T67</f>
        <v>5.3380168974399567E-3</v>
      </c>
      <c r="V67" s="334">
        <f t="shared" ref="V67" si="30">N67/T67</f>
        <v>1.0000000006897292</v>
      </c>
    </row>
    <row r="68" spans="1:24" ht="15">
      <c r="A68" s="319" t="s">
        <v>267</v>
      </c>
      <c r="B68" s="232">
        <v>90061.2</v>
      </c>
      <c r="C68" s="38">
        <v>1542.8571428571427</v>
      </c>
      <c r="D68" s="38">
        <v>2371.0407239819006</v>
      </c>
      <c r="E68" s="232">
        <v>25771.266307692302</v>
      </c>
      <c r="F68" s="232">
        <v>15816.999230769228</v>
      </c>
      <c r="G68" s="38">
        <v>0</v>
      </c>
      <c r="H68" s="38">
        <v>3682.1184313725494</v>
      </c>
      <c r="I68" s="38">
        <v>615.38461538461547</v>
      </c>
      <c r="J68" s="38">
        <v>142513.78020061541</v>
      </c>
      <c r="K68" s="38">
        <v>17840.496598901103</v>
      </c>
      <c r="L68" s="233">
        <v>300215.14325157425</v>
      </c>
      <c r="M68" s="321">
        <v>14</v>
      </c>
      <c r="N68" s="15">
        <f>M68*L68</f>
        <v>4203012.0055220397</v>
      </c>
      <c r="O68" s="222" t="str">
        <f t="shared" ref="O68:O73" si="31">A68</f>
        <v>ВСШ №8</v>
      </c>
      <c r="P68" s="23">
        <f>L$65*M68</f>
        <v>1873161.7827180366</v>
      </c>
      <c r="Q68" s="27"/>
      <c r="R68" s="7"/>
      <c r="S68" s="370">
        <v>2.2438061946374113</v>
      </c>
      <c r="T68" s="48">
        <f>ROUND(P68*S68,2)</f>
        <v>4203012.01</v>
      </c>
      <c r="U68" s="14">
        <f t="shared" si="1"/>
        <v>-4.4779600575566292E-3</v>
      </c>
      <c r="V68" s="334">
        <f t="shared" si="2"/>
        <v>0.99999999893458313</v>
      </c>
    </row>
    <row r="69" spans="1:24" ht="15.75" customHeight="1">
      <c r="A69" s="295" t="s">
        <v>15</v>
      </c>
      <c r="B69" s="223"/>
      <c r="C69" s="224"/>
      <c r="D69" s="224"/>
      <c r="E69" s="223"/>
      <c r="F69" s="223"/>
      <c r="G69" s="224"/>
      <c r="H69" s="224"/>
      <c r="I69" s="224"/>
      <c r="J69" s="224"/>
      <c r="K69" s="224"/>
      <c r="L69" s="233"/>
      <c r="M69" s="353">
        <f>M70+M71+M73</f>
        <v>98</v>
      </c>
      <c r="N69" s="15"/>
      <c r="O69" s="222" t="str">
        <f t="shared" si="31"/>
        <v>Присмотр и уход</v>
      </c>
      <c r="P69" s="28"/>
      <c r="Q69" s="28"/>
      <c r="R69" s="25"/>
      <c r="S69" s="356"/>
      <c r="T69" s="227">
        <f>T70+T71+T73+U69</f>
        <v>14062384.239999998</v>
      </c>
      <c r="U69" s="227"/>
      <c r="V69" s="338">
        <f t="shared" si="2"/>
        <v>0</v>
      </c>
      <c r="W69" s="228">
        <f>'[6]ИТОГО БНЗ доу 2017'!T16+T69</f>
        <v>71617036.299999997</v>
      </c>
      <c r="X69" s="228">
        <f>'[6]ИТОГО БНЗ доу 2017'!M17+'[6]ИТОГО БНЗ доу 2017'!M18+'[6]ИТОГО БНЗ доу 2017'!M19+'[6]ИТОГО БНЗ доу 2017'!M20+'[6]ИТОГО БНЗ доу 2017'!M21+M70+M71+M73</f>
        <v>618</v>
      </c>
    </row>
    <row r="70" spans="1:24" s="21" customFormat="1" ht="15">
      <c r="A70" s="329" t="s">
        <v>60</v>
      </c>
      <c r="B70" s="257">
        <v>25991.628333333338</v>
      </c>
      <c r="C70" s="237">
        <v>277.77777777777777</v>
      </c>
      <c r="D70" s="237">
        <v>523.56020942408384</v>
      </c>
      <c r="E70" s="257">
        <v>11876.290104711608</v>
      </c>
      <c r="F70" s="257">
        <v>1528.8052094240838</v>
      </c>
      <c r="G70" s="237">
        <v>0</v>
      </c>
      <c r="H70" s="237">
        <v>0</v>
      </c>
      <c r="I70" s="237">
        <v>110.41009463722398</v>
      </c>
      <c r="J70" s="237">
        <v>36005.99828906951</v>
      </c>
      <c r="K70" s="237">
        <v>19431.392408376963</v>
      </c>
      <c r="L70" s="296">
        <v>95745.862426754597</v>
      </c>
      <c r="M70" s="330">
        <v>72</v>
      </c>
      <c r="N70" s="19">
        <f>M70*L70</f>
        <v>6893702.0947263306</v>
      </c>
      <c r="O70" s="329" t="str">
        <f t="shared" si="31"/>
        <v>ТСШ №3</v>
      </c>
      <c r="P70" s="18">
        <f>L$70*M70</f>
        <v>6893702.0947263306</v>
      </c>
      <c r="Q70" s="18"/>
      <c r="R70" s="20"/>
      <c r="S70" s="369">
        <v>1.0000000006856014</v>
      </c>
      <c r="T70" s="26">
        <f>ROUND(P70*S70,2)</f>
        <v>6893702.0999999996</v>
      </c>
      <c r="U70" s="18">
        <f t="shared" si="1"/>
        <v>-5.2736690267920494E-3</v>
      </c>
      <c r="V70" s="336">
        <f t="shared" si="2"/>
        <v>0.99999999923500194</v>
      </c>
    </row>
    <row r="71" spans="1:24" ht="15">
      <c r="A71" s="319" t="s">
        <v>61</v>
      </c>
      <c r="B71" s="232">
        <v>54263.332499999939</v>
      </c>
      <c r="C71" s="224">
        <v>1250</v>
      </c>
      <c r="D71" s="224">
        <v>1543.2098765432097</v>
      </c>
      <c r="E71" s="232">
        <v>45104.816296239165</v>
      </c>
      <c r="F71" s="232">
        <v>7957.3298765432091</v>
      </c>
      <c r="G71" s="224">
        <v>0</v>
      </c>
      <c r="H71" s="224">
        <v>0</v>
      </c>
      <c r="I71" s="224">
        <v>606.06060606060601</v>
      </c>
      <c r="J71" s="224">
        <v>140709.50406504064</v>
      </c>
      <c r="K71" s="224">
        <v>30065.178518518518</v>
      </c>
      <c r="L71" s="233">
        <v>281499.43173894531</v>
      </c>
      <c r="M71" s="321">
        <v>12</v>
      </c>
      <c r="N71" s="15">
        <f>M71*L71</f>
        <v>3377993.1808673437</v>
      </c>
      <c r="O71" s="222" t="str">
        <f t="shared" si="31"/>
        <v>БСШ №5</v>
      </c>
      <c r="P71" s="27">
        <f>L$70*M71</f>
        <v>1148950.3491210551</v>
      </c>
      <c r="Q71" s="27"/>
      <c r="R71" s="7"/>
      <c r="S71" s="370">
        <v>2.9400688905898704</v>
      </c>
      <c r="T71" s="48">
        <f>ROUND(P71*S71,2)</f>
        <v>3377993.18</v>
      </c>
      <c r="U71" s="14">
        <f t="shared" si="1"/>
        <v>8.6734350770711899E-4</v>
      </c>
      <c r="V71" s="334">
        <f t="shared" si="2"/>
        <v>1.0000000002567631</v>
      </c>
    </row>
    <row r="72" spans="1:24" ht="15">
      <c r="A72" s="319" t="s">
        <v>262</v>
      </c>
      <c r="B72" s="232">
        <v>57448.565999999832</v>
      </c>
      <c r="C72" s="224">
        <v>2857.1428571428569</v>
      </c>
      <c r="D72" s="224">
        <v>860.33519553072631</v>
      </c>
      <c r="E72" s="232">
        <v>15240.524972059475</v>
      </c>
      <c r="F72" s="232">
        <v>4287.3182681564249</v>
      </c>
      <c r="G72" s="224">
        <v>0</v>
      </c>
      <c r="H72" s="224">
        <v>0</v>
      </c>
      <c r="I72" s="224">
        <v>185.61151079136692</v>
      </c>
      <c r="J72" s="224">
        <v>84442.941690130319</v>
      </c>
      <c r="K72" s="224">
        <v>11416.627709497205</v>
      </c>
      <c r="L72" s="233">
        <v>176739.06820330818</v>
      </c>
      <c r="M72" s="321">
        <v>35</v>
      </c>
      <c r="N72" s="15">
        <f>M72*L72</f>
        <v>6185867.3871157868</v>
      </c>
      <c r="O72" s="222" t="str">
        <f t="shared" si="31"/>
        <v>НСШ №6</v>
      </c>
      <c r="P72" s="27">
        <f>L$70*M72</f>
        <v>3351105.1849364107</v>
      </c>
      <c r="Q72" s="27"/>
      <c r="R72" s="7"/>
      <c r="S72" s="370">
        <v>1.8459186014315989</v>
      </c>
      <c r="T72" s="48">
        <f>ROUND(P72*S72,2)</f>
        <v>6185867.4000000004</v>
      </c>
      <c r="U72" s="14">
        <f t="shared" si="1"/>
        <v>-1.2884213589131832E-2</v>
      </c>
      <c r="V72" s="334">
        <f t="shared" si="2"/>
        <v>0.99999999791715333</v>
      </c>
    </row>
    <row r="73" spans="1:24" s="6" customFormat="1" ht="15">
      <c r="A73" s="319" t="s">
        <v>267</v>
      </c>
      <c r="B73" s="232">
        <v>40537.259285714295</v>
      </c>
      <c r="C73" s="224">
        <v>1928.5714285714284</v>
      </c>
      <c r="D73" s="224">
        <v>2076.9230769230771</v>
      </c>
      <c r="E73" s="232">
        <v>25771.266307692302</v>
      </c>
      <c r="F73" s="232">
        <v>15816.999230769228</v>
      </c>
      <c r="G73" s="224">
        <v>0</v>
      </c>
      <c r="H73" s="224">
        <v>0</v>
      </c>
      <c r="I73" s="224">
        <v>615.38461538461547</v>
      </c>
      <c r="J73" s="224">
        <v>166176.5960406154</v>
      </c>
      <c r="K73" s="224">
        <v>17840.496598901103</v>
      </c>
      <c r="L73" s="233">
        <v>270763.49658457143</v>
      </c>
      <c r="M73" s="323">
        <v>14</v>
      </c>
      <c r="N73" s="24">
        <f>M73*L73</f>
        <v>3790688.9521840001</v>
      </c>
      <c r="O73" s="222" t="str">
        <f t="shared" si="31"/>
        <v>ВСШ №8</v>
      </c>
      <c r="P73" s="23">
        <f>L$70*M73</f>
        <v>1340442.0739745644</v>
      </c>
      <c r="Q73" s="23"/>
      <c r="R73" s="25"/>
      <c r="S73" s="370">
        <v>2.8279394067242309</v>
      </c>
      <c r="T73" s="48">
        <f>ROUND(P73*S73,2)</f>
        <v>3790688.96</v>
      </c>
      <c r="U73" s="23">
        <f t="shared" si="1"/>
        <v>-7.815999910235405E-3</v>
      </c>
      <c r="V73" s="334">
        <f t="shared" si="2"/>
        <v>0.99999999793810568</v>
      </c>
    </row>
    <row r="74" spans="1:24" ht="15">
      <c r="A74" s="16" t="s">
        <v>22</v>
      </c>
      <c r="B74" s="232"/>
      <c r="C74" s="38"/>
      <c r="D74" s="38"/>
      <c r="E74" s="232"/>
      <c r="F74" s="232"/>
      <c r="G74" s="38"/>
      <c r="H74" s="38"/>
      <c r="I74" s="38"/>
      <c r="J74" s="38"/>
      <c r="K74" s="38"/>
      <c r="L74" s="233">
        <f t="shared" ref="L74:L76" si="32">B74+C74+D74+E74+F74+G74+H74+I74+J74+K74</f>
        <v>0</v>
      </c>
      <c r="M74" s="321"/>
      <c r="N74" s="15">
        <f>L74*M74</f>
        <v>0</v>
      </c>
      <c r="O74" s="222" t="str">
        <f t="shared" ref="O74:O76" si="33">A74</f>
        <v>тсш 3</v>
      </c>
      <c r="P74" s="13"/>
      <c r="Q74" s="13"/>
      <c r="R74" s="7"/>
      <c r="S74" s="356"/>
      <c r="T74" s="35"/>
      <c r="U74" s="14">
        <f t="shared" si="1"/>
        <v>0</v>
      </c>
      <c r="V74" s="334" t="e">
        <f t="shared" si="2"/>
        <v>#DIV/0!</v>
      </c>
    </row>
    <row r="75" spans="1:24" ht="15">
      <c r="A75" s="16" t="s">
        <v>23</v>
      </c>
      <c r="B75" s="232"/>
      <c r="C75" s="38"/>
      <c r="D75" s="38"/>
      <c r="E75" s="232"/>
      <c r="F75" s="232"/>
      <c r="G75" s="38"/>
      <c r="H75" s="38"/>
      <c r="I75" s="38"/>
      <c r="J75" s="38"/>
      <c r="K75" s="38"/>
      <c r="L75" s="233">
        <f t="shared" si="32"/>
        <v>0</v>
      </c>
      <c r="M75" s="321"/>
      <c r="N75" s="15">
        <f>L75*M75</f>
        <v>0</v>
      </c>
      <c r="O75" s="222" t="str">
        <f t="shared" si="33"/>
        <v>бсш 5</v>
      </c>
      <c r="P75" s="13"/>
      <c r="Q75" s="13"/>
      <c r="R75" s="7"/>
      <c r="S75" s="356"/>
      <c r="T75" s="35"/>
      <c r="U75" s="14">
        <f t="shared" si="1"/>
        <v>0</v>
      </c>
      <c r="V75" s="334" t="e">
        <f t="shared" si="2"/>
        <v>#DIV/0!</v>
      </c>
    </row>
    <row r="76" spans="1:24" ht="15">
      <c r="A76" s="16"/>
      <c r="B76" s="232"/>
      <c r="C76" s="38"/>
      <c r="D76" s="38"/>
      <c r="E76" s="232"/>
      <c r="F76" s="232"/>
      <c r="G76" s="38"/>
      <c r="H76" s="38"/>
      <c r="I76" s="38"/>
      <c r="J76" s="38"/>
      <c r="K76" s="38"/>
      <c r="L76" s="233">
        <f t="shared" si="32"/>
        <v>0</v>
      </c>
      <c r="M76" s="321"/>
      <c r="N76" s="15">
        <f>L76*M76</f>
        <v>0</v>
      </c>
      <c r="O76" s="222">
        <f t="shared" si="33"/>
        <v>0</v>
      </c>
      <c r="P76" s="13"/>
      <c r="Q76" s="13"/>
      <c r="R76" s="7"/>
      <c r="S76" s="356"/>
      <c r="T76" s="35"/>
      <c r="U76" s="14">
        <f t="shared" si="1"/>
        <v>0</v>
      </c>
      <c r="V76" s="334" t="e">
        <f t="shared" si="2"/>
        <v>#DIV/0!</v>
      </c>
    </row>
    <row r="77" spans="1:24" ht="25.5">
      <c r="A77" s="295" t="s">
        <v>48</v>
      </c>
      <c r="B77" s="232"/>
      <c r="C77" s="38"/>
      <c r="D77" s="38"/>
      <c r="E77" s="232"/>
      <c r="F77" s="232"/>
      <c r="G77" s="38"/>
      <c r="H77" s="38"/>
      <c r="I77" s="38"/>
      <c r="J77" s="38"/>
      <c r="K77" s="38"/>
      <c r="L77" s="233"/>
      <c r="M77" s="322">
        <f>M78+M79+M80+M81+M82+M83+M84</f>
        <v>0</v>
      </c>
      <c r="N77" s="14"/>
      <c r="O77" s="222" t="str">
        <f t="shared" ref="O77:O91" si="34">A77</f>
        <v>Организация питания обучающихся</v>
      </c>
      <c r="P77" s="14"/>
      <c r="Q77" s="13"/>
      <c r="R77" s="7"/>
      <c r="S77" s="356"/>
      <c r="T77" s="227">
        <f>T78+T79+T80+T81+T82+T83+T84</f>
        <v>0</v>
      </c>
      <c r="U77" s="14">
        <f t="shared" si="1"/>
        <v>0</v>
      </c>
      <c r="V77" s="334" t="e">
        <f t="shared" si="2"/>
        <v>#DIV/0!</v>
      </c>
    </row>
    <row r="78" spans="1:24" s="6" customFormat="1" ht="15">
      <c r="A78" s="222" t="s">
        <v>30</v>
      </c>
      <c r="B78" s="223">
        <v>0</v>
      </c>
      <c r="C78" s="224">
        <v>0</v>
      </c>
      <c r="D78" s="224">
        <v>0</v>
      </c>
      <c r="E78" s="223">
        <v>0</v>
      </c>
      <c r="F78" s="223">
        <v>0</v>
      </c>
      <c r="G78" s="224">
        <v>0</v>
      </c>
      <c r="H78" s="224">
        <v>0</v>
      </c>
      <c r="I78" s="224">
        <v>0</v>
      </c>
      <c r="J78" s="224">
        <v>0</v>
      </c>
      <c r="K78" s="224">
        <v>0</v>
      </c>
      <c r="L78" s="225">
        <v>0</v>
      </c>
      <c r="M78" s="323">
        <v>0</v>
      </c>
      <c r="N78" s="24">
        <f t="shared" ref="N78:N84" si="35">M78*L78</f>
        <v>0</v>
      </c>
      <c r="O78" s="222" t="str">
        <f t="shared" si="34"/>
        <v>ССШ №1</v>
      </c>
      <c r="P78" s="33">
        <f>L81*M78</f>
        <v>0</v>
      </c>
      <c r="Q78" s="23"/>
      <c r="R78" s="25"/>
      <c r="S78" s="368">
        <v>1</v>
      </c>
      <c r="T78" s="46">
        <f t="shared" ref="T78:T84" si="36">ROUND(P78*S78,2)</f>
        <v>0</v>
      </c>
      <c r="U78" s="23">
        <f t="shared" si="1"/>
        <v>0</v>
      </c>
      <c r="V78" s="332" t="e">
        <f t="shared" ref="V78:V91" si="37">N78/T78</f>
        <v>#DIV/0!</v>
      </c>
    </row>
    <row r="79" spans="1:24" s="6" customFormat="1" ht="15">
      <c r="A79" s="222" t="s">
        <v>31</v>
      </c>
      <c r="B79" s="223">
        <v>0</v>
      </c>
      <c r="C79" s="224">
        <v>0</v>
      </c>
      <c r="D79" s="224">
        <v>0</v>
      </c>
      <c r="E79" s="223">
        <v>0</v>
      </c>
      <c r="F79" s="223">
        <v>0</v>
      </c>
      <c r="G79" s="224">
        <v>0</v>
      </c>
      <c r="H79" s="224">
        <v>0</v>
      </c>
      <c r="I79" s="224">
        <v>0</v>
      </c>
      <c r="J79" s="224">
        <v>0</v>
      </c>
      <c r="K79" s="224">
        <v>0</v>
      </c>
      <c r="L79" s="225">
        <v>0</v>
      </c>
      <c r="M79" s="323">
        <v>0</v>
      </c>
      <c r="N79" s="24">
        <f t="shared" si="35"/>
        <v>0</v>
      </c>
      <c r="O79" s="222" t="str">
        <f t="shared" si="34"/>
        <v>ССШ №2</v>
      </c>
      <c r="P79" s="33">
        <f>L81*M79</f>
        <v>0</v>
      </c>
      <c r="Q79" s="23"/>
      <c r="R79" s="25"/>
      <c r="S79" s="368">
        <v>1</v>
      </c>
      <c r="T79" s="46">
        <f t="shared" si="36"/>
        <v>0</v>
      </c>
      <c r="U79" s="23">
        <f t="shared" si="1"/>
        <v>0</v>
      </c>
      <c r="V79" s="332" t="e">
        <f t="shared" si="37"/>
        <v>#DIV/0!</v>
      </c>
    </row>
    <row r="80" spans="1:24" s="6" customFormat="1" ht="15.75" customHeight="1">
      <c r="A80" s="222" t="s">
        <v>32</v>
      </c>
      <c r="B80" s="223">
        <v>0</v>
      </c>
      <c r="C80" s="224">
        <v>0</v>
      </c>
      <c r="D80" s="224">
        <v>0</v>
      </c>
      <c r="E80" s="223">
        <v>0</v>
      </c>
      <c r="F80" s="223">
        <v>0</v>
      </c>
      <c r="G80" s="224">
        <v>0</v>
      </c>
      <c r="H80" s="224">
        <v>0</v>
      </c>
      <c r="I80" s="224">
        <v>0</v>
      </c>
      <c r="J80" s="224">
        <v>0</v>
      </c>
      <c r="K80" s="224">
        <v>0</v>
      </c>
      <c r="L80" s="225">
        <v>0</v>
      </c>
      <c r="M80" s="323">
        <v>0</v>
      </c>
      <c r="N80" s="24">
        <f t="shared" si="35"/>
        <v>0</v>
      </c>
      <c r="O80" s="222" t="str">
        <f>A80</f>
        <v>ССШ №3</v>
      </c>
      <c r="P80" s="33">
        <f>L81*M80</f>
        <v>0</v>
      </c>
      <c r="Q80" s="23"/>
      <c r="R80" s="25"/>
      <c r="S80" s="368">
        <v>1</v>
      </c>
      <c r="T80" s="46">
        <f t="shared" si="36"/>
        <v>0</v>
      </c>
      <c r="U80" s="23">
        <f t="shared" si="1"/>
        <v>0</v>
      </c>
      <c r="V80" s="332" t="e">
        <f t="shared" si="37"/>
        <v>#DIV/0!</v>
      </c>
    </row>
    <row r="81" spans="1:24" s="6" customFormat="1" ht="15">
      <c r="A81" s="222" t="s">
        <v>34</v>
      </c>
      <c r="B81" s="223">
        <v>0</v>
      </c>
      <c r="C81" s="224">
        <v>0</v>
      </c>
      <c r="D81" s="224">
        <v>0</v>
      </c>
      <c r="E81" s="223">
        <v>0</v>
      </c>
      <c r="F81" s="223">
        <v>0</v>
      </c>
      <c r="G81" s="224">
        <v>0</v>
      </c>
      <c r="H81" s="224">
        <v>0</v>
      </c>
      <c r="I81" s="224">
        <v>0</v>
      </c>
      <c r="J81" s="224">
        <v>0</v>
      </c>
      <c r="K81" s="224">
        <v>0</v>
      </c>
      <c r="L81" s="225">
        <v>0</v>
      </c>
      <c r="M81" s="323">
        <v>0</v>
      </c>
      <c r="N81" s="24">
        <f t="shared" si="35"/>
        <v>0</v>
      </c>
      <c r="O81" s="222" t="str">
        <f>A81</f>
        <v>ССШ №6</v>
      </c>
      <c r="P81" s="33">
        <f>L81*M81</f>
        <v>0</v>
      </c>
      <c r="Q81" s="23"/>
      <c r="R81" s="25"/>
      <c r="S81" s="368">
        <v>1</v>
      </c>
      <c r="T81" s="46">
        <f t="shared" si="36"/>
        <v>0</v>
      </c>
      <c r="U81" s="23">
        <f t="shared" si="1"/>
        <v>0</v>
      </c>
      <c r="V81" s="332" t="e">
        <f t="shared" si="37"/>
        <v>#DIV/0!</v>
      </c>
    </row>
    <row r="82" spans="1:24" s="6" customFormat="1" ht="15">
      <c r="A82" s="222" t="s">
        <v>33</v>
      </c>
      <c r="B82" s="223">
        <v>0</v>
      </c>
      <c r="C82" s="224">
        <v>0</v>
      </c>
      <c r="D82" s="224">
        <v>0</v>
      </c>
      <c r="E82" s="223">
        <v>0</v>
      </c>
      <c r="F82" s="223">
        <v>0</v>
      </c>
      <c r="G82" s="224">
        <v>0</v>
      </c>
      <c r="H82" s="224">
        <v>0</v>
      </c>
      <c r="I82" s="224">
        <v>0</v>
      </c>
      <c r="J82" s="224">
        <v>0</v>
      </c>
      <c r="K82" s="224">
        <v>0</v>
      </c>
      <c r="L82" s="225">
        <v>0</v>
      </c>
      <c r="M82" s="323">
        <v>0</v>
      </c>
      <c r="N82" s="24">
        <f t="shared" si="35"/>
        <v>0</v>
      </c>
      <c r="O82" s="222" t="str">
        <f t="shared" si="34"/>
        <v>ССШ №5</v>
      </c>
      <c r="P82" s="33">
        <f>L81*M82</f>
        <v>0</v>
      </c>
      <c r="Q82" s="23"/>
      <c r="R82" s="25"/>
      <c r="S82" s="368">
        <v>1</v>
      </c>
      <c r="T82" s="46">
        <f t="shared" si="36"/>
        <v>0</v>
      </c>
      <c r="U82" s="23">
        <f t="shared" si="1"/>
        <v>0</v>
      </c>
      <c r="V82" s="332" t="e">
        <f t="shared" si="37"/>
        <v>#DIV/0!</v>
      </c>
    </row>
    <row r="83" spans="1:24" s="6" customFormat="1" ht="15">
      <c r="A83" s="222" t="s">
        <v>36</v>
      </c>
      <c r="B83" s="223">
        <v>0</v>
      </c>
      <c r="C83" s="224">
        <v>0</v>
      </c>
      <c r="D83" s="224">
        <v>0</v>
      </c>
      <c r="E83" s="223">
        <v>0</v>
      </c>
      <c r="F83" s="223">
        <v>0</v>
      </c>
      <c r="G83" s="224">
        <v>0</v>
      </c>
      <c r="H83" s="224">
        <v>0</v>
      </c>
      <c r="I83" s="224">
        <v>0</v>
      </c>
      <c r="J83" s="224">
        <v>0</v>
      </c>
      <c r="K83" s="224">
        <v>0</v>
      </c>
      <c r="L83" s="225">
        <v>0</v>
      </c>
      <c r="M83" s="323">
        <v>0</v>
      </c>
      <c r="N83" s="24">
        <f t="shared" si="35"/>
        <v>0</v>
      </c>
      <c r="O83" s="222" t="str">
        <f t="shared" si="34"/>
        <v>ССШ №8</v>
      </c>
      <c r="P83" s="33">
        <f>L81*M83</f>
        <v>0</v>
      </c>
      <c r="Q83" s="23"/>
      <c r="R83" s="25"/>
      <c r="S83" s="368">
        <v>1</v>
      </c>
      <c r="T83" s="46">
        <f t="shared" si="36"/>
        <v>0</v>
      </c>
      <c r="U83" s="23">
        <f t="shared" si="1"/>
        <v>0</v>
      </c>
      <c r="V83" s="332" t="e">
        <f t="shared" si="37"/>
        <v>#DIV/0!</v>
      </c>
    </row>
    <row r="84" spans="1:24" s="6" customFormat="1" ht="15">
      <c r="A84" s="222" t="s">
        <v>37</v>
      </c>
      <c r="B84" s="223">
        <v>0</v>
      </c>
      <c r="C84" s="224">
        <v>0</v>
      </c>
      <c r="D84" s="224">
        <v>0</v>
      </c>
      <c r="E84" s="223">
        <v>0</v>
      </c>
      <c r="F84" s="223">
        <v>0</v>
      </c>
      <c r="G84" s="224">
        <v>0</v>
      </c>
      <c r="H84" s="224">
        <v>0</v>
      </c>
      <c r="I84" s="224">
        <v>0</v>
      </c>
      <c r="J84" s="224">
        <v>0</v>
      </c>
      <c r="K84" s="224">
        <v>0</v>
      </c>
      <c r="L84" s="225">
        <v>0</v>
      </c>
      <c r="M84" s="323">
        <v>0</v>
      </c>
      <c r="N84" s="24">
        <f t="shared" si="35"/>
        <v>0</v>
      </c>
      <c r="O84" s="222" t="str">
        <f t="shared" si="34"/>
        <v>СОШ №9</v>
      </c>
      <c r="P84" s="33">
        <f>L81*M84</f>
        <v>0</v>
      </c>
      <c r="Q84" s="23"/>
      <c r="R84" s="25"/>
      <c r="S84" s="368">
        <v>1</v>
      </c>
      <c r="T84" s="46">
        <f t="shared" si="36"/>
        <v>0</v>
      </c>
      <c r="U84" s="23">
        <f t="shared" si="1"/>
        <v>0</v>
      </c>
      <c r="V84" s="332" t="e">
        <f t="shared" si="37"/>
        <v>#DIV/0!</v>
      </c>
    </row>
    <row r="85" spans="1:24" ht="33.75" customHeight="1">
      <c r="A85" s="295" t="s">
        <v>49</v>
      </c>
      <c r="B85" s="232"/>
      <c r="C85" s="38"/>
      <c r="D85" s="38"/>
      <c r="E85" s="232"/>
      <c r="F85" s="232"/>
      <c r="G85" s="38"/>
      <c r="H85" s="38"/>
      <c r="I85" s="38"/>
      <c r="J85" s="38"/>
      <c r="K85" s="38"/>
      <c r="L85" s="233"/>
      <c r="M85" s="322">
        <f>M86+M87+M88+M89+M90+M91</f>
        <v>207135</v>
      </c>
      <c r="N85" s="15"/>
      <c r="O85" s="295" t="str">
        <f t="shared" si="34"/>
        <v xml:space="preserve">Реализация дополнительных общеразвивающих программ </v>
      </c>
      <c r="P85" s="30"/>
      <c r="Q85" s="13"/>
      <c r="R85" s="7"/>
      <c r="S85" s="356"/>
      <c r="T85" s="364">
        <f>T86+T87+T88+T89+T90+T91</f>
        <v>7608746.5800000001</v>
      </c>
      <c r="U85" s="14"/>
      <c r="V85" s="334">
        <f t="shared" si="37"/>
        <v>0</v>
      </c>
    </row>
    <row r="86" spans="1:24" s="21" customFormat="1" ht="15">
      <c r="A86" s="329" t="s">
        <v>30</v>
      </c>
      <c r="B86" s="257">
        <v>25.14189552977534</v>
      </c>
      <c r="C86" s="237">
        <v>0</v>
      </c>
      <c r="D86" s="237">
        <v>0</v>
      </c>
      <c r="E86" s="257">
        <v>0</v>
      </c>
      <c r="F86" s="257">
        <v>0</v>
      </c>
      <c r="G86" s="237">
        <v>0</v>
      </c>
      <c r="H86" s="237">
        <v>0</v>
      </c>
      <c r="I86" s="237">
        <v>0</v>
      </c>
      <c r="J86" s="237">
        <v>0</v>
      </c>
      <c r="K86" s="237">
        <v>0</v>
      </c>
      <c r="L86" s="296">
        <v>25.14189552977534</v>
      </c>
      <c r="M86" s="330">
        <v>82837</v>
      </c>
      <c r="N86" s="19">
        <f>M86*L86</f>
        <v>2082679.1999999997</v>
      </c>
      <c r="O86" s="329" t="str">
        <f t="shared" si="34"/>
        <v>ССШ №1</v>
      </c>
      <c r="P86" s="18">
        <f>M86*L86</f>
        <v>2082679.1999999997</v>
      </c>
      <c r="Q86" s="396"/>
      <c r="R86" s="20"/>
      <c r="S86" s="369">
        <v>0.99999999999999989</v>
      </c>
      <c r="T86" s="366">
        <f>ROUND(P86*S86,2)</f>
        <v>2082679.2</v>
      </c>
      <c r="U86" s="18">
        <f>N86-T86</f>
        <v>0</v>
      </c>
      <c r="V86" s="336">
        <f t="shared" si="37"/>
        <v>0.99999999999999989</v>
      </c>
    </row>
    <row r="87" spans="1:24" s="302" customFormat="1" ht="15">
      <c r="A87" s="351" t="s">
        <v>31</v>
      </c>
      <c r="B87" s="232">
        <v>47.658670800232514</v>
      </c>
      <c r="C87" s="38">
        <v>0</v>
      </c>
      <c r="D87" s="38">
        <v>0</v>
      </c>
      <c r="E87" s="232">
        <v>0</v>
      </c>
      <c r="F87" s="232">
        <v>0</v>
      </c>
      <c r="G87" s="38">
        <v>0</v>
      </c>
      <c r="H87" s="38">
        <v>0</v>
      </c>
      <c r="I87" s="38">
        <v>0</v>
      </c>
      <c r="J87" s="38">
        <v>0</v>
      </c>
      <c r="K87" s="38">
        <v>0</v>
      </c>
      <c r="L87" s="233">
        <v>47.658670800232514</v>
      </c>
      <c r="M87" s="353">
        <v>36127</v>
      </c>
      <c r="N87" s="305">
        <f t="shared" ref="N87:N91" si="38">M87*L87</f>
        <v>1721764.8</v>
      </c>
      <c r="O87" s="295" t="str">
        <f>A87</f>
        <v>ССШ №2</v>
      </c>
      <c r="P87" s="27">
        <f>M87*L86</f>
        <v>908301.25980419375</v>
      </c>
      <c r="Q87" s="27"/>
      <c r="R87" s="307"/>
      <c r="S87" s="370">
        <v>1.8955878141135685</v>
      </c>
      <c r="T87" s="371">
        <f t="shared" ref="T87:T91" si="39">ROUND(P87*S87,2)</f>
        <v>1721764.8</v>
      </c>
      <c r="U87" s="27">
        <f t="shared" ref="U87:U91" si="40">N87-T87</f>
        <v>0</v>
      </c>
      <c r="V87" s="355">
        <f t="shared" si="37"/>
        <v>1</v>
      </c>
    </row>
    <row r="88" spans="1:24" ht="15">
      <c r="A88" s="319" t="s">
        <v>60</v>
      </c>
      <c r="B88" s="232">
        <v>39.510835461510389</v>
      </c>
      <c r="C88" s="38">
        <v>0</v>
      </c>
      <c r="D88" s="38">
        <v>0</v>
      </c>
      <c r="E88" s="232">
        <v>0</v>
      </c>
      <c r="F88" s="232">
        <v>0</v>
      </c>
      <c r="G88" s="38">
        <v>0</v>
      </c>
      <c r="H88" s="38">
        <v>0</v>
      </c>
      <c r="I88" s="38">
        <v>0</v>
      </c>
      <c r="J88" s="38">
        <v>0</v>
      </c>
      <c r="K88" s="38">
        <v>0</v>
      </c>
      <c r="L88" s="233">
        <v>39.510835461510389</v>
      </c>
      <c r="M88" s="321">
        <v>41115</v>
      </c>
      <c r="N88" s="15">
        <f t="shared" si="38"/>
        <v>1624487.9999999995</v>
      </c>
      <c r="O88" s="295" t="str">
        <f>A88</f>
        <v>ТСШ №3</v>
      </c>
      <c r="P88" s="27">
        <f>M88*L86</f>
        <v>1033709.034706713</v>
      </c>
      <c r="Q88" s="27"/>
      <c r="R88" s="7"/>
      <c r="S88" s="370">
        <v>1.571513794360488</v>
      </c>
      <c r="T88" s="367">
        <f t="shared" si="39"/>
        <v>1624488.01</v>
      </c>
      <c r="U88" s="14">
        <f>N88-T88</f>
        <v>-1.0000000474974513E-2</v>
      </c>
      <c r="V88" s="334">
        <f t="shared" si="37"/>
        <v>0.99999999384421401</v>
      </c>
    </row>
    <row r="89" spans="1:24" ht="15">
      <c r="A89" s="319" t="s">
        <v>61</v>
      </c>
      <c r="B89" s="232">
        <v>60.653617325083303</v>
      </c>
      <c r="C89" s="38">
        <v>0</v>
      </c>
      <c r="D89" s="38">
        <v>0</v>
      </c>
      <c r="E89" s="232">
        <v>0</v>
      </c>
      <c r="F89" s="232">
        <v>0</v>
      </c>
      <c r="G89" s="38">
        <v>0</v>
      </c>
      <c r="H89" s="38">
        <v>0</v>
      </c>
      <c r="I89" s="38">
        <v>0</v>
      </c>
      <c r="J89" s="38">
        <v>0</v>
      </c>
      <c r="K89" s="38">
        <v>0</v>
      </c>
      <c r="L89" s="233">
        <v>60.653617325083303</v>
      </c>
      <c r="M89" s="321">
        <v>16808</v>
      </c>
      <c r="N89" s="15">
        <f t="shared" si="38"/>
        <v>1019466.0000000001</v>
      </c>
      <c r="O89" s="295" t="str">
        <f t="shared" si="34"/>
        <v>БСШ №5</v>
      </c>
      <c r="P89" s="27">
        <f>M89*L86</f>
        <v>422584.98006446392</v>
      </c>
      <c r="Q89" s="27"/>
      <c r="R89" s="7"/>
      <c r="S89" s="370">
        <v>2.4124520469232014</v>
      </c>
      <c r="T89" s="367">
        <f t="shared" si="39"/>
        <v>1019466</v>
      </c>
      <c r="U89" s="14">
        <f t="shared" si="40"/>
        <v>0</v>
      </c>
      <c r="V89" s="334">
        <f t="shared" si="37"/>
        <v>1.0000000000000002</v>
      </c>
    </row>
    <row r="90" spans="1:24" s="6" customFormat="1" ht="15">
      <c r="A90" s="222" t="s">
        <v>262</v>
      </c>
      <c r="B90" s="232">
        <v>38.361166735935299</v>
      </c>
      <c r="C90" s="38">
        <v>0</v>
      </c>
      <c r="D90" s="38">
        <v>0</v>
      </c>
      <c r="E90" s="232">
        <v>0</v>
      </c>
      <c r="F90" s="232">
        <v>0</v>
      </c>
      <c r="G90" s="38">
        <v>0</v>
      </c>
      <c r="H90" s="38">
        <v>0</v>
      </c>
      <c r="I90" s="38">
        <v>0</v>
      </c>
      <c r="J90" s="38">
        <v>0</v>
      </c>
      <c r="K90" s="38">
        <v>0</v>
      </c>
      <c r="L90" s="233">
        <v>38.361166735935299</v>
      </c>
      <c r="M90" s="323">
        <v>30248</v>
      </c>
      <c r="N90" s="24">
        <f t="shared" si="38"/>
        <v>1160348.5714285709</v>
      </c>
      <c r="O90" s="295" t="str">
        <f t="shared" si="34"/>
        <v>НСШ №6</v>
      </c>
      <c r="P90" s="23">
        <f>M90*L86</f>
        <v>760492.05598464445</v>
      </c>
      <c r="Q90" s="23"/>
      <c r="R90" s="25"/>
      <c r="S90" s="368">
        <v>1.5257865695909709</v>
      </c>
      <c r="T90" s="365">
        <f t="shared" si="39"/>
        <v>1160348.57</v>
      </c>
      <c r="U90" s="23">
        <f t="shared" si="40"/>
        <v>1.42857083119452E-3</v>
      </c>
      <c r="V90" s="332">
        <f t="shared" si="37"/>
        <v>1.0000000012311567</v>
      </c>
    </row>
    <row r="91" spans="1:24" ht="15">
      <c r="A91" s="319" t="s">
        <v>267</v>
      </c>
      <c r="B91" s="232">
        <v>0</v>
      </c>
      <c r="C91" s="38">
        <v>0</v>
      </c>
      <c r="D91" s="38">
        <v>0</v>
      </c>
      <c r="E91" s="232">
        <v>0</v>
      </c>
      <c r="F91" s="232">
        <v>0</v>
      </c>
      <c r="G91" s="38">
        <v>0</v>
      </c>
      <c r="H91" s="38">
        <v>0</v>
      </c>
      <c r="I91" s="38">
        <v>0</v>
      </c>
      <c r="J91" s="38">
        <v>0</v>
      </c>
      <c r="K91" s="38">
        <v>0</v>
      </c>
      <c r="L91" s="233">
        <f t="shared" ref="L91" si="41">B91+C91+D91+E91+F91+G91+H91+I91+J91+K91</f>
        <v>0</v>
      </c>
      <c r="M91" s="321">
        <v>0</v>
      </c>
      <c r="N91" s="15">
        <f t="shared" si="38"/>
        <v>0</v>
      </c>
      <c r="O91" s="295" t="str">
        <f t="shared" si="34"/>
        <v>ВСШ №8</v>
      </c>
      <c r="P91" s="27">
        <f>M91*L87</f>
        <v>0</v>
      </c>
      <c r="Q91" s="27"/>
      <c r="R91" s="7"/>
      <c r="S91" s="370"/>
      <c r="T91" s="367">
        <f t="shared" si="39"/>
        <v>0</v>
      </c>
      <c r="U91" s="14">
        <f t="shared" si="40"/>
        <v>0</v>
      </c>
      <c r="V91" s="334" t="e">
        <f t="shared" si="37"/>
        <v>#DIV/0!</v>
      </c>
    </row>
    <row r="92" spans="1:24" ht="15" customHeight="1">
      <c r="K92" s="31" t="s">
        <v>27</v>
      </c>
      <c r="L92" s="32"/>
      <c r="M92" s="321"/>
      <c r="N92" s="14">
        <f>SUM(N4:N91)</f>
        <v>284760350.11999911</v>
      </c>
      <c r="O92" s="14" t="s">
        <v>59</v>
      </c>
      <c r="P92" s="14">
        <f>SUM(P4:P91)</f>
        <v>189326653.02223289</v>
      </c>
      <c r="Q92" s="14">
        <f>N92-P92</f>
        <v>95433697.097766221</v>
      </c>
      <c r="S92" s="356"/>
      <c r="T92" s="36">
        <f>T85+T77+T69+T64+T59+T55+T51+T44+T38+T36+T33+T26+T18+T10+T4</f>
        <v>270737841.68000001</v>
      </c>
    </row>
    <row r="93" spans="1:24" ht="15" customHeight="1">
      <c r="K93" s="40"/>
      <c r="L93" s="41"/>
      <c r="M93" s="324"/>
      <c r="N93" s="42"/>
      <c r="O93" s="42"/>
      <c r="P93" s="42"/>
      <c r="Q93" s="42"/>
      <c r="V93" s="331">
        <f>N102-T92</f>
        <v>12719996.459999979</v>
      </c>
    </row>
    <row r="94" spans="1:24" ht="25.5">
      <c r="K94" s="236"/>
      <c r="L94" s="236" t="s">
        <v>268</v>
      </c>
      <c r="M94" s="321" t="s">
        <v>290</v>
      </c>
      <c r="N94" s="44" t="s">
        <v>289</v>
      </c>
      <c r="O94" s="13" t="s">
        <v>53</v>
      </c>
      <c r="P94" s="13"/>
      <c r="Q94" s="13"/>
      <c r="R94" s="30"/>
      <c r="S94" s="356"/>
      <c r="T94" s="13" t="s">
        <v>55</v>
      </c>
      <c r="U94" s="267" t="s">
        <v>54</v>
      </c>
      <c r="V94" s="331" t="s">
        <v>268</v>
      </c>
    </row>
    <row r="95" spans="1:24" ht="14.25" customHeight="1">
      <c r="A95" s="222" t="s">
        <v>30</v>
      </c>
      <c r="I95" s="7"/>
      <c r="L95" s="14">
        <f>N95-M95</f>
        <v>-5.6475400924682617E-6</v>
      </c>
      <c r="M95" s="325">
        <f>N5+N11+N19+N27+N39+N45+N56+N86+N50+N52</f>
        <v>70720652.910005644</v>
      </c>
      <c r="N95" s="360">
        <f>'[7]ИТОГО БНЗ'!$M$15</f>
        <v>70720652.909999996</v>
      </c>
      <c r="O95" s="391" t="s">
        <v>30</v>
      </c>
      <c r="P95" s="14">
        <f>P86+P78+P62+P56+P52+P46+P39+P27+P19+P11+P5</f>
        <v>60633389.936958708</v>
      </c>
      <c r="Q95" s="13"/>
      <c r="R95" s="14"/>
      <c r="S95" s="356"/>
      <c r="T95" s="18">
        <f>T5+T11+T19+T27+T34+T39+T45+T52+T56+T86</f>
        <v>70623307.13000001</v>
      </c>
      <c r="U95" s="14">
        <f>N95-T95</f>
        <v>97345.779999986291</v>
      </c>
      <c r="V95" s="339"/>
      <c r="W95" s="25">
        <f t="shared" ref="W95:W101" si="42">U95-L95</f>
        <v>97345.780005633831</v>
      </c>
      <c r="X95" s="25">
        <f>M95-T95</f>
        <v>97345.780005633831</v>
      </c>
    </row>
    <row r="96" spans="1:24" ht="15">
      <c r="A96" s="222" t="s">
        <v>31</v>
      </c>
      <c r="I96" s="7"/>
      <c r="L96" s="14">
        <f t="shared" ref="L96:L98" si="43">N96-M96</f>
        <v>3.5017728805541992E-7</v>
      </c>
      <c r="M96" s="325">
        <f>N6+N12+N20+N28+N40+N46+N53+N57+N87</f>
        <v>50766669.199999653</v>
      </c>
      <c r="N96" s="360">
        <f>'[8]ИТОГО БНЗ'!$M$15</f>
        <v>50766669.200000003</v>
      </c>
      <c r="O96" s="391" t="s">
        <v>31</v>
      </c>
      <c r="P96" s="14">
        <f>P87+P79+P40+P37+P28+P20+P12+P6</f>
        <v>48603875.593872637</v>
      </c>
      <c r="Q96" s="13"/>
      <c r="R96" s="14"/>
      <c r="S96" s="356"/>
      <c r="T96" s="26">
        <f>T6+T12+T20+T28+T40+T46+T53+T57+T87</f>
        <v>50766669.209999993</v>
      </c>
      <c r="U96" s="14">
        <f t="shared" ref="U96:U101" si="44">N96-T96</f>
        <v>-9.9999904632568359E-3</v>
      </c>
      <c r="V96" s="339"/>
      <c r="W96" s="25">
        <f t="shared" si="42"/>
        <v>-1.0000340640544891E-2</v>
      </c>
      <c r="X96" s="25">
        <f t="shared" ref="X96:X101" si="45">M96-T96</f>
        <v>-1.0000340640544891E-2</v>
      </c>
    </row>
    <row r="97" spans="1:24" ht="15">
      <c r="A97" s="16" t="s">
        <v>32</v>
      </c>
      <c r="I97" s="7"/>
      <c r="K97" s="226"/>
      <c r="L97" s="14">
        <f>N97-M97</f>
        <v>-721391.24999987334</v>
      </c>
      <c r="M97" s="325">
        <f>N7+N13+N21+N29+N41+N47+N54+N58+N65+N70+N88</f>
        <v>50053649.289999872</v>
      </c>
      <c r="N97" s="361">
        <f>'[9]ИТОГО БНЗ'!$M$17</f>
        <v>49332258.039999999</v>
      </c>
      <c r="O97" s="391" t="s">
        <v>60</v>
      </c>
      <c r="P97" s="14">
        <f>P88+P80+P70+P65+P29+P21+P13+P7+P54</f>
        <v>40322135.761050455</v>
      </c>
      <c r="Q97" s="13"/>
      <c r="R97" s="14"/>
      <c r="S97" s="356"/>
      <c r="T97" s="18">
        <f>T7+T13+T21+T29+T41+T47+T54+T58+T65+T70+T88</f>
        <v>50053649.299999997</v>
      </c>
      <c r="U97" s="14">
        <f>N97-T97</f>
        <v>-721391.25999999791</v>
      </c>
      <c r="V97" s="339">
        <f>'[9]ИТОГО БНЗ'!$M$16</f>
        <v>721391.25</v>
      </c>
      <c r="W97" s="25">
        <f t="shared" si="42"/>
        <v>-1.0000124573707581E-2</v>
      </c>
      <c r="X97" s="25">
        <f t="shared" si="45"/>
        <v>-1.0000124573707581E-2</v>
      </c>
    </row>
    <row r="98" spans="1:24" ht="15">
      <c r="A98" s="16" t="s">
        <v>34</v>
      </c>
      <c r="I98" s="7"/>
      <c r="L98" s="14">
        <f t="shared" si="43"/>
        <v>-110483.33999525756</v>
      </c>
      <c r="M98" s="325">
        <f>N8+N14+N22+N30+N42+N66+N71+N89</f>
        <v>32159373.259995259</v>
      </c>
      <c r="N98" s="362">
        <f>'[10]ИТОГО БНЗ'!$M$17</f>
        <v>32048889.920000002</v>
      </c>
      <c r="O98" s="391" t="s">
        <v>61</v>
      </c>
      <c r="P98" s="14">
        <f>P89+P81+P30+P22+P14+P8+P61+P42+P66+P71</f>
        <v>8734324.8317153864</v>
      </c>
      <c r="Q98" s="13"/>
      <c r="R98" s="14"/>
      <c r="S98" s="356"/>
      <c r="T98" s="18">
        <f>T8+T14+T22+T30+T42+T66+T71+T89</f>
        <v>32159373.23</v>
      </c>
      <c r="U98" s="14">
        <f t="shared" si="44"/>
        <v>-110483.30999999866</v>
      </c>
      <c r="V98" s="339">
        <f>'[10]ИТОГО БНЗ'!$M$16</f>
        <v>110483.34</v>
      </c>
      <c r="W98" s="25">
        <f t="shared" si="42"/>
        <v>2.9995258897542953E-2</v>
      </c>
      <c r="X98" s="25">
        <f t="shared" si="45"/>
        <v>2.9995258897542953E-2</v>
      </c>
    </row>
    <row r="99" spans="1:24" ht="15">
      <c r="A99" s="16" t="s">
        <v>33</v>
      </c>
      <c r="I99" s="7"/>
      <c r="K99" s="34"/>
      <c r="L99" s="14">
        <f>N99-M99</f>
        <v>-350947.09999863803</v>
      </c>
      <c r="M99" s="325">
        <f>N9+N15+N23+N31+N43+N48+N67+N72+N90</f>
        <v>42606711.849998638</v>
      </c>
      <c r="N99" s="362">
        <f>'[11]ИТОГО БНЗ'!$M$17</f>
        <v>42255764.75</v>
      </c>
      <c r="O99" s="391" t="s">
        <v>262</v>
      </c>
      <c r="P99" s="14">
        <f>P9+P15+P23+P31+P43+P48+P67+P72+P90</f>
        <v>18852645.531840589</v>
      </c>
      <c r="Q99" s="13"/>
      <c r="R99" s="14"/>
      <c r="S99" s="356"/>
      <c r="T99" s="18">
        <f>T9+T15+T23+T31+T43+T48+T67+T72+T90</f>
        <v>42606711.829999998</v>
      </c>
      <c r="U99" s="14">
        <f t="shared" si="44"/>
        <v>-350947.07999999821</v>
      </c>
      <c r="V99" s="340">
        <f>'[11]ИТОГО БНЗ'!$M$16</f>
        <v>350947.1</v>
      </c>
      <c r="W99" s="25">
        <f t="shared" si="42"/>
        <v>1.9998639822006226E-2</v>
      </c>
      <c r="X99" s="25">
        <f t="shared" si="45"/>
        <v>1.9998639822006226E-2</v>
      </c>
    </row>
    <row r="100" spans="1:24" ht="15">
      <c r="A100" s="16" t="s">
        <v>36</v>
      </c>
      <c r="I100" s="7"/>
      <c r="K100" s="221"/>
      <c r="L100" s="14">
        <f>N100-M100</f>
        <v>-119690.28999996185</v>
      </c>
      <c r="M100" s="326">
        <f>N16+N24+N32+N68+N73+N91</f>
        <v>26143421.909999963</v>
      </c>
      <c r="N100" s="362">
        <f>'[12]ИТОГО БНЗ'!$M$17</f>
        <v>26023731.620000001</v>
      </c>
      <c r="O100" s="391" t="s">
        <v>293</v>
      </c>
      <c r="P100" s="14">
        <f>P91+P83+P73+P68+P32+P24+P16</f>
        <v>7192200.3083359459</v>
      </c>
      <c r="Q100" s="13"/>
      <c r="R100" s="14"/>
      <c r="S100" s="356"/>
      <c r="T100" s="18">
        <f>T16+T24+T32+T68+T73+T91</f>
        <v>26143421.93</v>
      </c>
      <c r="U100" s="14">
        <f t="shared" si="44"/>
        <v>-119690.30999999866</v>
      </c>
      <c r="V100" s="339">
        <f>'[12]ИТОГО БНЗ'!$M$16</f>
        <v>119690.29</v>
      </c>
      <c r="W100" s="25">
        <f t="shared" si="42"/>
        <v>-2.0000036805868149E-2</v>
      </c>
      <c r="X100" s="25">
        <f t="shared" si="45"/>
        <v>-2.0000036805868149E-2</v>
      </c>
    </row>
    <row r="101" spans="1:24" ht="15">
      <c r="A101" s="16" t="s">
        <v>37</v>
      </c>
      <c r="I101" s="7"/>
      <c r="L101" s="14">
        <f>N101-M101</f>
        <v>0</v>
      </c>
      <c r="M101" s="326">
        <f>N17+N25+N35</f>
        <v>12309871.69999999</v>
      </c>
      <c r="N101" s="363">
        <f>'[13]ИТОГО БНЗ'!$M$11</f>
        <v>12309871.699999999</v>
      </c>
      <c r="O101" s="391" t="s">
        <v>292</v>
      </c>
      <c r="P101" s="14">
        <f>P84+P35+P25+P17</f>
        <v>3242684.0774030993</v>
      </c>
      <c r="Q101" s="13"/>
      <c r="R101" s="14"/>
      <c r="S101" s="356"/>
      <c r="T101" s="18">
        <f>T17+T25+T35</f>
        <v>12309871.75</v>
      </c>
      <c r="U101" s="14">
        <f t="shared" si="44"/>
        <v>-5.000000074505806E-2</v>
      </c>
      <c r="V101" s="339"/>
      <c r="W101" s="25">
        <f t="shared" si="42"/>
        <v>-5.000000074505806E-2</v>
      </c>
      <c r="X101" s="25">
        <f t="shared" si="45"/>
        <v>-5.0000010058283806E-2</v>
      </c>
    </row>
    <row r="102" spans="1:24" ht="15">
      <c r="J102" s="34">
        <f>SUM(J95:J101)</f>
        <v>0</v>
      </c>
      <c r="K102" s="45">
        <f>K95+K96+K97+K98+K99+K100+K101</f>
        <v>0</v>
      </c>
      <c r="L102" s="252">
        <f>SUM(L95:L101)</f>
        <v>-1302511.9799990281</v>
      </c>
      <c r="M102" s="326">
        <f>SUM(M95:M101)</f>
        <v>284760350.11999899</v>
      </c>
      <c r="N102" s="252">
        <f>SUM(N95:N101)</f>
        <v>283457838.13999999</v>
      </c>
      <c r="O102" s="13"/>
      <c r="P102" s="14"/>
      <c r="Q102" s="13"/>
      <c r="R102" s="14"/>
      <c r="S102" s="356"/>
      <c r="T102" s="47">
        <f>T95+T96+T97+T98+T99+T100+T101</f>
        <v>284663004.38</v>
      </c>
      <c r="U102" s="47">
        <f>SUM(U95:U101)</f>
        <v>-1205166.2399999984</v>
      </c>
      <c r="V102" s="341">
        <f>V95+V96+V97+V98+V99+V100+V101</f>
        <v>1302511.98</v>
      </c>
      <c r="W102" s="25">
        <f>SUM(W95:W101)</f>
        <v>97345.739999029785</v>
      </c>
      <c r="X102" s="25">
        <f>SUM(X95:X101)</f>
        <v>97345.739999020472</v>
      </c>
    </row>
    <row r="103" spans="1:24">
      <c r="K103" s="42"/>
      <c r="L103" s="297"/>
      <c r="M103" s="324"/>
      <c r="N103" s="42"/>
      <c r="O103" s="297"/>
      <c r="P103" s="297"/>
      <c r="U103" s="7">
        <f>V102</f>
        <v>1302511.98</v>
      </c>
    </row>
    <row r="104" spans="1:24" ht="11.25" customHeight="1">
      <c r="K104" s="42"/>
      <c r="L104" s="297"/>
      <c r="M104" s="324"/>
      <c r="N104" s="298"/>
      <c r="O104" s="299"/>
      <c r="P104" s="297"/>
      <c r="T104" s="7">
        <f>T102-M102</f>
        <v>-97345.739998996258</v>
      </c>
      <c r="U104" s="7"/>
    </row>
    <row r="105" spans="1:24">
      <c r="K105" s="300"/>
      <c r="L105" s="297"/>
      <c r="M105" s="327">
        <f>N102-M102</f>
        <v>-1302511.9799990058</v>
      </c>
      <c r="N105" s="299">
        <v>280085195.5</v>
      </c>
      <c r="O105" s="297"/>
      <c r="P105" s="297"/>
      <c r="U105" s="7">
        <f>L102-U102</f>
        <v>-97345.739999029785</v>
      </c>
    </row>
    <row r="106" spans="1:24">
      <c r="K106" s="42"/>
      <c r="L106" s="297"/>
      <c r="M106" s="327"/>
      <c r="N106" s="300"/>
      <c r="O106" s="42"/>
      <c r="P106" s="297"/>
      <c r="T106" s="7"/>
      <c r="U106" s="7"/>
    </row>
    <row r="107" spans="1:24">
      <c r="K107" s="297"/>
      <c r="L107" s="297"/>
      <c r="M107" s="324">
        <f>258718159.6+K102</f>
        <v>258718159.59999999</v>
      </c>
      <c r="N107" s="299"/>
      <c r="O107" s="297"/>
      <c r="P107" s="297"/>
      <c r="U107" s="7"/>
    </row>
    <row r="108" spans="1:24">
      <c r="K108" s="297"/>
      <c r="L108" s="298"/>
      <c r="M108" s="324"/>
      <c r="N108" s="297"/>
      <c r="O108" s="297"/>
      <c r="P108" s="297"/>
    </row>
    <row r="109" spans="1:24">
      <c r="K109" s="297"/>
      <c r="L109" s="297"/>
      <c r="M109" s="327"/>
      <c r="N109" s="297"/>
      <c r="O109" s="297"/>
      <c r="P109" s="297"/>
      <c r="T109" s="318"/>
    </row>
    <row r="110" spans="1:24">
      <c r="K110" s="297"/>
      <c r="L110" s="297"/>
      <c r="M110" s="324"/>
      <c r="N110" s="297"/>
      <c r="O110" s="297"/>
      <c r="P110" s="297"/>
      <c r="T110" s="7"/>
    </row>
    <row r="111" spans="1:24">
      <c r="T111" s="34"/>
    </row>
    <row r="112" spans="1:24">
      <c r="T112" s="7"/>
    </row>
  </sheetData>
  <mergeCells count="10">
    <mergeCell ref="O1:O2"/>
    <mergeCell ref="P1:P2"/>
    <mergeCell ref="Q1:Q2"/>
    <mergeCell ref="R1:R2"/>
    <mergeCell ref="A1:A2"/>
    <mergeCell ref="B1:D1"/>
    <mergeCell ref="E1:K1"/>
    <mergeCell ref="L1:L2"/>
    <mergeCell ref="M1:M2"/>
    <mergeCell ref="N1:N2"/>
  </mergeCells>
  <pageMargins left="0.11811023622047245" right="0.11811023622047245" top="0.55118110236220474" bottom="0.35433070866141736" header="0" footer="0"/>
  <pageSetup paperSize="9" scale="38" fitToHeight="0" orientation="landscape" r:id="rId1"/>
  <rowBreaks count="2" manualBreakCount="2">
    <brk id="61" max="23" man="1"/>
    <brk id="70" max="23" man="1"/>
  </rowBreaks>
  <colBreaks count="1" manualBreakCount="1">
    <brk id="11" max="94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7"/>
  <sheetViews>
    <sheetView view="pageBreakPreview" topLeftCell="A7" zoomScale="90" zoomScaleSheetLayoutView="90" workbookViewId="0">
      <selection activeCell="O29" sqref="O29"/>
    </sheetView>
  </sheetViews>
  <sheetFormatPr defaultColWidth="8.85546875" defaultRowHeight="12.75"/>
  <cols>
    <col min="1" max="1" width="10.5703125" style="1" customWidth="1"/>
    <col min="2" max="2" width="26" style="1" customWidth="1"/>
    <col min="3" max="12" width="9.7109375" style="1" customWidth="1"/>
    <col min="13" max="13" width="30.7109375" style="1" customWidth="1"/>
    <col min="14" max="14" width="12.5703125" style="1" customWidth="1"/>
    <col min="15" max="15" width="17.5703125" style="1" customWidth="1"/>
    <col min="16" max="16" width="17.28515625" style="1" customWidth="1"/>
    <col min="17" max="17" width="16.7109375" style="1" bestFit="1" customWidth="1"/>
    <col min="18" max="16384" width="8.85546875" style="1"/>
  </cols>
  <sheetData>
    <row r="1" spans="1:17" ht="70.5" customHeight="1">
      <c r="A1" s="13"/>
      <c r="B1" s="405" t="s">
        <v>14</v>
      </c>
      <c r="C1" s="405" t="s">
        <v>11</v>
      </c>
      <c r="D1" s="405"/>
      <c r="E1" s="405"/>
      <c r="F1" s="405" t="s">
        <v>12</v>
      </c>
      <c r="G1" s="405"/>
      <c r="H1" s="405"/>
      <c r="I1" s="405"/>
      <c r="J1" s="405"/>
      <c r="K1" s="405"/>
      <c r="L1" s="405"/>
      <c r="M1" s="405" t="s">
        <v>13</v>
      </c>
      <c r="N1" s="404" t="s">
        <v>271</v>
      </c>
      <c r="O1" s="404" t="s">
        <v>29</v>
      </c>
      <c r="P1" s="404" t="s">
        <v>284</v>
      </c>
    </row>
    <row r="2" spans="1:17" ht="29.25" customHeight="1">
      <c r="A2" s="13"/>
      <c r="B2" s="405"/>
      <c r="C2" s="258" t="s">
        <v>0</v>
      </c>
      <c r="D2" s="258" t="s">
        <v>10</v>
      </c>
      <c r="E2" s="258" t="s">
        <v>1</v>
      </c>
      <c r="F2" s="258" t="s">
        <v>2</v>
      </c>
      <c r="G2" s="258" t="s">
        <v>3</v>
      </c>
      <c r="H2" s="258" t="s">
        <v>4</v>
      </c>
      <c r="I2" s="258" t="s">
        <v>5</v>
      </c>
      <c r="J2" s="258" t="s">
        <v>6</v>
      </c>
      <c r="K2" s="258" t="s">
        <v>7</v>
      </c>
      <c r="L2" s="258" t="s">
        <v>8</v>
      </c>
      <c r="M2" s="405"/>
      <c r="N2" s="404"/>
      <c r="O2" s="404"/>
      <c r="P2" s="404"/>
    </row>
    <row r="3" spans="1:17">
      <c r="A3" s="13"/>
      <c r="B3" s="231">
        <v>1</v>
      </c>
      <c r="C3" s="231">
        <v>2</v>
      </c>
      <c r="D3" s="231">
        <v>3</v>
      </c>
      <c r="E3" s="231">
        <v>4</v>
      </c>
      <c r="F3" s="231">
        <v>5</v>
      </c>
      <c r="G3" s="231">
        <v>6</v>
      </c>
      <c r="H3" s="231">
        <v>7</v>
      </c>
      <c r="I3" s="231">
        <v>8</v>
      </c>
      <c r="J3" s="231">
        <v>9</v>
      </c>
      <c r="K3" s="231">
        <v>10</v>
      </c>
      <c r="L3" s="231">
        <v>11</v>
      </c>
      <c r="M3" s="231" t="s">
        <v>9</v>
      </c>
      <c r="N3" s="13"/>
      <c r="O3" s="235"/>
      <c r="P3" s="13"/>
    </row>
    <row r="4" spans="1:17" ht="51">
      <c r="A4" s="13" t="s">
        <v>272</v>
      </c>
      <c r="B4" s="16" t="s">
        <v>270</v>
      </c>
      <c r="C4" s="232">
        <v>86.882594385878946</v>
      </c>
      <c r="D4" s="38">
        <v>0.31931004493404841</v>
      </c>
      <c r="E4" s="38">
        <v>7.8745998548862151</v>
      </c>
      <c r="F4" s="232">
        <v>17.589722330238086</v>
      </c>
      <c r="G4" s="232">
        <v>6.8148306334101072</v>
      </c>
      <c r="H4" s="38">
        <v>0</v>
      </c>
      <c r="I4" s="38">
        <v>0.84762078288138776</v>
      </c>
      <c r="J4" s="38">
        <v>1.8996662664142656</v>
      </c>
      <c r="K4" s="38">
        <v>83.387998971023904</v>
      </c>
      <c r="L4" s="38">
        <v>5.398886586131896</v>
      </c>
      <c r="M4" s="233">
        <v>211.01522985579888</v>
      </c>
      <c r="N4" s="259">
        <v>172475</v>
      </c>
      <c r="O4" s="260">
        <v>36394851.769378908</v>
      </c>
      <c r="P4" s="13"/>
    </row>
    <row r="5" spans="1:17" ht="51">
      <c r="A5" s="13" t="s">
        <v>272</v>
      </c>
      <c r="B5" s="16" t="s">
        <v>269</v>
      </c>
      <c r="C5" s="232">
        <v>86.88259438587896</v>
      </c>
      <c r="D5" s="38">
        <v>0.52439460425808548</v>
      </c>
      <c r="E5" s="38">
        <v>7.8745867332764501</v>
      </c>
      <c r="F5" s="232">
        <v>17.589722330238086</v>
      </c>
      <c r="G5" s="232">
        <v>6.8148306334101072</v>
      </c>
      <c r="H5" s="38">
        <v>0</v>
      </c>
      <c r="I5" s="38">
        <v>0.84028287782435629</v>
      </c>
      <c r="J5" s="38">
        <v>1.8996662664142656</v>
      </c>
      <c r="K5" s="38">
        <v>83.387998971023904</v>
      </c>
      <c r="L5" s="38">
        <v>5.398886586131896</v>
      </c>
      <c r="M5" s="233">
        <v>211.21296338845613</v>
      </c>
      <c r="N5" s="259">
        <v>61530</v>
      </c>
      <c r="O5" s="260">
        <v>12995933.637291705</v>
      </c>
      <c r="P5" s="13"/>
    </row>
    <row r="6" spans="1:17" ht="63.75">
      <c r="A6" s="13" t="s">
        <v>272</v>
      </c>
      <c r="B6" s="16" t="s">
        <v>296</v>
      </c>
      <c r="C6" s="232">
        <v>17193.52353802817</v>
      </c>
      <c r="D6" s="38">
        <v>322.92857142857144</v>
      </c>
      <c r="E6" s="38">
        <v>7.8977378571428565</v>
      </c>
      <c r="F6" s="232">
        <v>17.589722330238086</v>
      </c>
      <c r="G6" s="232">
        <v>6.8148306334101072</v>
      </c>
      <c r="H6" s="38">
        <v>0</v>
      </c>
      <c r="I6" s="38">
        <v>3029.4285714285711</v>
      </c>
      <c r="J6" s="38">
        <v>1.8996662664142656</v>
      </c>
      <c r="K6" s="38">
        <v>83.387998971023904</v>
      </c>
      <c r="L6" s="38">
        <v>5.398886586131896</v>
      </c>
      <c r="M6" s="233">
        <v>20668.869523529676</v>
      </c>
      <c r="N6" s="259">
        <v>14</v>
      </c>
      <c r="O6" s="260">
        <v>289364.1733294155</v>
      </c>
      <c r="P6" s="13"/>
    </row>
    <row r="7" spans="1:17">
      <c r="A7" s="13" t="s">
        <v>27</v>
      </c>
      <c r="B7" s="16"/>
      <c r="C7" s="232"/>
      <c r="D7" s="38"/>
      <c r="E7" s="38"/>
      <c r="F7" s="232"/>
      <c r="G7" s="232"/>
      <c r="H7" s="38"/>
      <c r="I7" s="38"/>
      <c r="J7" s="38"/>
      <c r="K7" s="38"/>
      <c r="L7" s="38"/>
      <c r="M7" s="233"/>
      <c r="N7" s="259"/>
      <c r="O7" s="260">
        <v>49680149.580000028</v>
      </c>
      <c r="P7" s="373">
        <f>'[14]Для ФУ '!$N$8</f>
        <v>49680149.580000028</v>
      </c>
    </row>
    <row r="8" spans="1:17" ht="12.75" customHeight="1">
      <c r="B8" s="234"/>
      <c r="C8" s="403"/>
      <c r="D8" s="403"/>
      <c r="E8" s="403"/>
      <c r="F8" s="403"/>
      <c r="G8" s="403"/>
      <c r="H8" s="403"/>
      <c r="I8" s="403"/>
      <c r="J8" s="403"/>
      <c r="K8" s="403"/>
      <c r="L8" s="403"/>
      <c r="M8" s="234"/>
      <c r="N8" s="261"/>
      <c r="O8" s="261"/>
      <c r="P8" s="13"/>
    </row>
    <row r="9" spans="1:17" ht="51">
      <c r="A9" s="13" t="s">
        <v>278</v>
      </c>
      <c r="B9" s="16" t="s">
        <v>269</v>
      </c>
      <c r="C9" s="232">
        <v>135.57427879915377</v>
      </c>
      <c r="D9" s="224">
        <v>0.65040988475703931</v>
      </c>
      <c r="E9" s="224">
        <v>4.6377011007620652</v>
      </c>
      <c r="F9" s="232">
        <v>9.1497523946869528</v>
      </c>
      <c r="G9" s="232">
        <v>2.9212558874894157</v>
      </c>
      <c r="H9" s="224">
        <v>0</v>
      </c>
      <c r="I9" s="224">
        <v>0.34152677815410665</v>
      </c>
      <c r="J9" s="224">
        <v>0.66151566469093981</v>
      </c>
      <c r="K9" s="224">
        <v>50.695729254868752</v>
      </c>
      <c r="L9" s="224">
        <v>4.233413817739204</v>
      </c>
      <c r="M9" s="233">
        <v>208.86558358230224</v>
      </c>
      <c r="N9" s="259">
        <v>16834</v>
      </c>
      <c r="O9" s="260">
        <v>3516043.2340244758</v>
      </c>
      <c r="P9" s="13"/>
    </row>
    <row r="10" spans="1:17" ht="51">
      <c r="A10" s="13" t="s">
        <v>278</v>
      </c>
      <c r="B10" s="16" t="s">
        <v>273</v>
      </c>
      <c r="C10" s="232">
        <v>135.57427879915377</v>
      </c>
      <c r="D10" s="224">
        <v>0.61353383458646604</v>
      </c>
      <c r="E10" s="224">
        <v>4.6377011007620652</v>
      </c>
      <c r="F10" s="232">
        <v>9.1497523946869528</v>
      </c>
      <c r="G10" s="232">
        <v>2.9212558874894157</v>
      </c>
      <c r="H10" s="224">
        <v>0</v>
      </c>
      <c r="I10" s="224">
        <v>0.34152677815410665</v>
      </c>
      <c r="J10" s="224">
        <v>0.66151566469093981</v>
      </c>
      <c r="K10" s="224">
        <v>46.561520956816253</v>
      </c>
      <c r="L10" s="224">
        <v>4.233413817739204</v>
      </c>
      <c r="M10" s="233">
        <v>204.69449923407916</v>
      </c>
      <c r="N10" s="259">
        <v>58919</v>
      </c>
      <c r="O10" s="260">
        <v>12060395.200372711</v>
      </c>
      <c r="P10" s="13"/>
    </row>
    <row r="11" spans="1:17" ht="51">
      <c r="A11" s="13" t="s">
        <v>278</v>
      </c>
      <c r="B11" s="16" t="s">
        <v>274</v>
      </c>
      <c r="C11" s="232">
        <v>135.5742787991538</v>
      </c>
      <c r="D11" s="224">
        <v>1.3523569023569024</v>
      </c>
      <c r="E11" s="224">
        <v>4.6377011007620652</v>
      </c>
      <c r="F11" s="232">
        <v>9.1497523946869528</v>
      </c>
      <c r="G11" s="232">
        <v>2.9212558874894157</v>
      </c>
      <c r="H11" s="224">
        <v>0</v>
      </c>
      <c r="I11" s="224">
        <v>0.34152677815410665</v>
      </c>
      <c r="J11" s="224">
        <v>0.66151566469093981</v>
      </c>
      <c r="K11" s="224">
        <v>46.561520956816253</v>
      </c>
      <c r="L11" s="224">
        <v>4.233413817739204</v>
      </c>
      <c r="M11" s="233">
        <v>205.43332230184961</v>
      </c>
      <c r="N11" s="259">
        <v>3564</v>
      </c>
      <c r="O11" s="260">
        <v>732164.36068379204</v>
      </c>
      <c r="P11" s="13"/>
    </row>
    <row r="12" spans="1:17" ht="38.25">
      <c r="A12" s="13" t="s">
        <v>278</v>
      </c>
      <c r="B12" s="16" t="s">
        <v>275</v>
      </c>
      <c r="C12" s="232">
        <v>135.57427879915377</v>
      </c>
      <c r="D12" s="224">
        <v>0.6052178153446035</v>
      </c>
      <c r="E12" s="224">
        <v>4.6377011007620652</v>
      </c>
      <c r="F12" s="232">
        <v>9.1497523946869528</v>
      </c>
      <c r="G12" s="232">
        <v>2.9212558874894157</v>
      </c>
      <c r="H12" s="224">
        <v>0</v>
      </c>
      <c r="I12" s="224">
        <v>0.34152677815410665</v>
      </c>
      <c r="J12" s="224">
        <v>0.66151566469093981</v>
      </c>
      <c r="K12" s="224">
        <v>46.561520956816253</v>
      </c>
      <c r="L12" s="224">
        <v>4.233413817739204</v>
      </c>
      <c r="M12" s="233">
        <v>204.68618321483731</v>
      </c>
      <c r="N12" s="259">
        <v>24608</v>
      </c>
      <c r="O12" s="260">
        <v>5036917.596550717</v>
      </c>
      <c r="P12" s="13"/>
    </row>
    <row r="13" spans="1:17" ht="51">
      <c r="A13" s="13" t="s">
        <v>278</v>
      </c>
      <c r="B13" s="16" t="s">
        <v>276</v>
      </c>
      <c r="C13" s="232">
        <v>148.51288690507985</v>
      </c>
      <c r="D13" s="224">
        <v>0.58840626513805905</v>
      </c>
      <c r="E13" s="224">
        <v>4.6377011007620652</v>
      </c>
      <c r="F13" s="232">
        <v>9.1497523946869528</v>
      </c>
      <c r="G13" s="232">
        <v>2.9212558874894157</v>
      </c>
      <c r="H13" s="224">
        <v>0</v>
      </c>
      <c r="I13" s="224">
        <v>0.34152677815410665</v>
      </c>
      <c r="J13" s="224">
        <v>0.66151566469093981</v>
      </c>
      <c r="K13" s="224">
        <v>46.561520956816253</v>
      </c>
      <c r="L13" s="224">
        <v>4.233413817739204</v>
      </c>
      <c r="M13" s="233">
        <v>217.60797977055682</v>
      </c>
      <c r="N13" s="259">
        <v>43351</v>
      </c>
      <c r="O13" s="260">
        <v>9433523.5310334098</v>
      </c>
      <c r="P13" s="13"/>
    </row>
    <row r="14" spans="1:17" ht="51">
      <c r="A14" s="13" t="s">
        <v>278</v>
      </c>
      <c r="B14" s="16" t="s">
        <v>277</v>
      </c>
      <c r="C14" s="232">
        <v>135.57427879915377</v>
      </c>
      <c r="D14" s="224">
        <v>2.6682425488180885</v>
      </c>
      <c r="E14" s="224">
        <v>4.6377011007620652</v>
      </c>
      <c r="F14" s="232">
        <v>9.1497523946869528</v>
      </c>
      <c r="G14" s="232">
        <v>2.9212558874894157</v>
      </c>
      <c r="H14" s="224">
        <v>0</v>
      </c>
      <c r="I14" s="224">
        <v>0.34152677815410665</v>
      </c>
      <c r="J14" s="224">
        <v>0.66151566469093981</v>
      </c>
      <c r="K14" s="224">
        <v>46.561520956816253</v>
      </c>
      <c r="L14" s="224">
        <v>4.233413817739204</v>
      </c>
      <c r="M14" s="233">
        <v>206.74920794831078</v>
      </c>
      <c r="N14" s="259">
        <v>3892</v>
      </c>
      <c r="O14" s="260">
        <v>804667.91733482562</v>
      </c>
      <c r="P14" s="13"/>
    </row>
    <row r="15" spans="1:17" ht="19.5" customHeight="1">
      <c r="A15" s="13" t="s">
        <v>27</v>
      </c>
      <c r="B15" s="13" t="s">
        <v>294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259"/>
      <c r="O15" s="262">
        <v>5830485</v>
      </c>
      <c r="P15" s="45"/>
      <c r="Q15" s="34"/>
    </row>
    <row r="16" spans="1:17" ht="14.25">
      <c r="A16" s="13"/>
      <c r="B16" s="13" t="s">
        <v>295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259"/>
      <c r="O16" s="263">
        <v>37414196.839999929</v>
      </c>
      <c r="P16" s="372">
        <f>'[15]для фу '!$M$14</f>
        <v>37414196.840000004</v>
      </c>
      <c r="Q16" s="34"/>
    </row>
    <row r="17" spans="15:17">
      <c r="O17" s="7"/>
      <c r="P17" s="7"/>
      <c r="Q17" s="7"/>
    </row>
  </sheetData>
  <mergeCells count="9">
    <mergeCell ref="C8:E8"/>
    <mergeCell ref="F8:L8"/>
    <mergeCell ref="P1:P2"/>
    <mergeCell ref="B1:B2"/>
    <mergeCell ref="C1:E1"/>
    <mergeCell ref="F1:L1"/>
    <mergeCell ref="M1:M2"/>
    <mergeCell ref="O1:O2"/>
    <mergeCell ref="N1:N2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1"/>
  <dimension ref="A1:T213"/>
  <sheetViews>
    <sheetView topLeftCell="A33" workbookViewId="0">
      <selection activeCell="I37" sqref="I37"/>
    </sheetView>
  </sheetViews>
  <sheetFormatPr defaultRowHeight="15"/>
  <cols>
    <col min="1" max="1" width="60.140625" customWidth="1"/>
    <col min="2" max="2" width="10.28515625" customWidth="1"/>
    <col min="3" max="3" width="13.5703125" customWidth="1"/>
    <col min="4" max="4" width="11.5703125" customWidth="1"/>
    <col min="5" max="5" width="11.85546875" customWidth="1"/>
    <col min="6" max="6" width="9.7109375" customWidth="1"/>
    <col min="7" max="7" width="10.85546875" hidden="1" customWidth="1"/>
    <col min="8" max="8" width="14.140625" style="52" customWidth="1"/>
    <col min="9" max="9" width="12.140625" customWidth="1"/>
    <col min="10" max="10" width="17" customWidth="1"/>
    <col min="11" max="11" width="18.5703125" customWidth="1"/>
    <col min="13" max="13" width="18.140625" customWidth="1"/>
    <col min="14" max="14" width="13.7109375" customWidth="1"/>
    <col min="15" max="15" width="20.5703125" customWidth="1"/>
    <col min="17" max="17" width="11.28515625" customWidth="1"/>
  </cols>
  <sheetData>
    <row r="1" spans="2:9" hidden="1">
      <c r="B1" t="s">
        <v>35</v>
      </c>
    </row>
    <row r="2" spans="2:9" hidden="1"/>
    <row r="3" spans="2:9" s="56" customFormat="1" ht="76.5" hidden="1" customHeight="1">
      <c r="B3" s="53"/>
      <c r="C3" s="54" t="s">
        <v>64</v>
      </c>
      <c r="D3" s="53" t="s">
        <v>65</v>
      </c>
      <c r="E3" s="53" t="s">
        <v>66</v>
      </c>
      <c r="F3" s="53" t="s">
        <v>67</v>
      </c>
      <c r="G3" s="53" t="s">
        <v>68</v>
      </c>
      <c r="H3" s="55" t="s">
        <v>69</v>
      </c>
      <c r="I3" s="54" t="s">
        <v>70</v>
      </c>
    </row>
    <row r="4" spans="2:9" hidden="1">
      <c r="B4" s="57" t="s">
        <v>71</v>
      </c>
      <c r="C4" s="58">
        <v>528</v>
      </c>
      <c r="D4" s="59">
        <v>539</v>
      </c>
      <c r="E4" s="59">
        <f>D4*8</f>
        <v>4312</v>
      </c>
      <c r="F4" s="59">
        <v>543</v>
      </c>
      <c r="G4" s="59">
        <f>F4*4</f>
        <v>2172</v>
      </c>
      <c r="H4" s="60">
        <f>(E4+G4)/12</f>
        <v>540.33333333333337</v>
      </c>
      <c r="I4" s="58">
        <f>ROUND(H4,0)</f>
        <v>540</v>
      </c>
    </row>
    <row r="5" spans="2:9" hidden="1">
      <c r="B5" s="57" t="s">
        <v>72</v>
      </c>
      <c r="C5" s="58">
        <v>392</v>
      </c>
      <c r="D5" s="59">
        <f>366+18</f>
        <v>384</v>
      </c>
      <c r="E5" s="59">
        <f t="shared" ref="E5:E23" si="0">D5*8</f>
        <v>3072</v>
      </c>
      <c r="F5" s="59">
        <f>368+11</f>
        <v>379</v>
      </c>
      <c r="G5" s="59">
        <f t="shared" ref="G5:G23" si="1">F5*4</f>
        <v>1516</v>
      </c>
      <c r="H5" s="60">
        <f t="shared" ref="H5:H19" si="2">(E5+G5)/12</f>
        <v>382.33333333333331</v>
      </c>
      <c r="I5" s="58">
        <f t="shared" ref="I5:I24" si="3">ROUND(H5,0)</f>
        <v>382</v>
      </c>
    </row>
    <row r="6" spans="2:9" hidden="1">
      <c r="B6" s="57" t="s">
        <v>73</v>
      </c>
      <c r="C6" s="58">
        <v>193</v>
      </c>
      <c r="D6" s="59">
        <v>198</v>
      </c>
      <c r="E6" s="59">
        <f t="shared" si="0"/>
        <v>1584</v>
      </c>
      <c r="F6" s="59">
        <f>195+1</f>
        <v>196</v>
      </c>
      <c r="G6" s="59">
        <f t="shared" si="1"/>
        <v>784</v>
      </c>
      <c r="H6" s="60">
        <f t="shared" si="2"/>
        <v>197.33333333333334</v>
      </c>
      <c r="I6" s="58">
        <f t="shared" si="3"/>
        <v>197</v>
      </c>
    </row>
    <row r="7" spans="2:9" hidden="1">
      <c r="B7" s="57" t="s">
        <v>74</v>
      </c>
      <c r="C7" s="60">
        <v>78</v>
      </c>
      <c r="D7" s="60">
        <v>78</v>
      </c>
      <c r="E7" s="59">
        <f t="shared" si="0"/>
        <v>624</v>
      </c>
      <c r="F7" s="58">
        <v>73</v>
      </c>
      <c r="G7" s="59">
        <f t="shared" si="1"/>
        <v>292</v>
      </c>
      <c r="H7" s="60">
        <f t="shared" si="2"/>
        <v>76.333333333333329</v>
      </c>
      <c r="I7" s="58">
        <f t="shared" si="3"/>
        <v>76</v>
      </c>
    </row>
    <row r="8" spans="2:9" hidden="1">
      <c r="B8" s="57" t="s">
        <v>75</v>
      </c>
      <c r="C8" s="58">
        <v>61</v>
      </c>
      <c r="D8" s="59">
        <f>59+2</f>
        <v>61</v>
      </c>
      <c r="E8" s="59">
        <f t="shared" si="0"/>
        <v>488</v>
      </c>
      <c r="F8" s="58">
        <v>65</v>
      </c>
      <c r="G8" s="59">
        <f t="shared" si="1"/>
        <v>260</v>
      </c>
      <c r="H8" s="60">
        <f t="shared" si="2"/>
        <v>62.333333333333336</v>
      </c>
      <c r="I8" s="58">
        <f t="shared" si="3"/>
        <v>62</v>
      </c>
    </row>
    <row r="9" spans="2:9" hidden="1">
      <c r="B9" s="57" t="s">
        <v>76</v>
      </c>
      <c r="C9" s="60">
        <v>25</v>
      </c>
      <c r="D9" s="60">
        <v>21</v>
      </c>
      <c r="E9" s="59">
        <f t="shared" si="0"/>
        <v>168</v>
      </c>
      <c r="F9" s="58">
        <v>21</v>
      </c>
      <c r="G9" s="59">
        <f t="shared" si="1"/>
        <v>84</v>
      </c>
      <c r="H9" s="60">
        <f t="shared" si="2"/>
        <v>21</v>
      </c>
      <c r="I9" s="58">
        <f t="shared" si="3"/>
        <v>21</v>
      </c>
    </row>
    <row r="10" spans="2:9" hidden="1">
      <c r="B10" s="57" t="s">
        <v>77</v>
      </c>
      <c r="C10" s="58">
        <v>94</v>
      </c>
      <c r="D10" s="59">
        <v>93</v>
      </c>
      <c r="E10" s="59">
        <f t="shared" si="0"/>
        <v>744</v>
      </c>
      <c r="F10" s="58">
        <v>91</v>
      </c>
      <c r="G10" s="59">
        <f t="shared" si="1"/>
        <v>364</v>
      </c>
      <c r="H10" s="60">
        <f t="shared" si="2"/>
        <v>92.333333333333329</v>
      </c>
      <c r="I10" s="58">
        <f t="shared" si="3"/>
        <v>92</v>
      </c>
    </row>
    <row r="11" spans="2:9" hidden="1">
      <c r="B11" s="57" t="s">
        <v>78</v>
      </c>
      <c r="C11" s="58">
        <v>46</v>
      </c>
      <c r="D11" s="59">
        <v>46</v>
      </c>
      <c r="E11" s="59">
        <f t="shared" si="0"/>
        <v>368</v>
      </c>
      <c r="F11" s="58">
        <v>52</v>
      </c>
      <c r="G11" s="59">
        <f t="shared" si="1"/>
        <v>208</v>
      </c>
      <c r="H11" s="60">
        <f t="shared" si="2"/>
        <v>48</v>
      </c>
      <c r="I11" s="58">
        <f t="shared" si="3"/>
        <v>48</v>
      </c>
    </row>
    <row r="12" spans="2:9" hidden="1">
      <c r="B12" s="57" t="s">
        <v>79</v>
      </c>
      <c r="C12" s="60">
        <v>25</v>
      </c>
      <c r="D12" s="60">
        <v>22</v>
      </c>
      <c r="E12" s="59">
        <f t="shared" si="0"/>
        <v>176</v>
      </c>
      <c r="F12" s="58">
        <v>20</v>
      </c>
      <c r="G12" s="59">
        <f t="shared" si="1"/>
        <v>80</v>
      </c>
      <c r="H12" s="60">
        <f t="shared" si="2"/>
        <v>21.333333333333332</v>
      </c>
      <c r="I12" s="58">
        <f t="shared" si="3"/>
        <v>21</v>
      </c>
    </row>
    <row r="13" spans="2:9" hidden="1">
      <c r="B13" s="57" t="s">
        <v>80</v>
      </c>
      <c r="C13" s="58">
        <v>33</v>
      </c>
      <c r="D13" s="59">
        <f>13+11+8</f>
        <v>32</v>
      </c>
      <c r="E13" s="59">
        <f t="shared" si="0"/>
        <v>256</v>
      </c>
      <c r="F13" s="58">
        <f>11+5+11</f>
        <v>27</v>
      </c>
      <c r="G13" s="59">
        <f t="shared" si="1"/>
        <v>108</v>
      </c>
      <c r="H13" s="60">
        <f t="shared" si="2"/>
        <v>30.333333333333332</v>
      </c>
      <c r="I13" s="58">
        <f t="shared" si="3"/>
        <v>30</v>
      </c>
    </row>
    <row r="14" spans="2:9" hidden="1">
      <c r="B14" s="57" t="s">
        <v>81</v>
      </c>
      <c r="C14" s="60">
        <v>1</v>
      </c>
      <c r="D14" s="60">
        <v>1</v>
      </c>
      <c r="E14" s="59">
        <f t="shared" si="0"/>
        <v>8</v>
      </c>
      <c r="F14" s="58">
        <v>3</v>
      </c>
      <c r="G14" s="59">
        <f t="shared" si="1"/>
        <v>12</v>
      </c>
      <c r="H14" s="60">
        <f t="shared" si="2"/>
        <v>1.6666666666666667</v>
      </c>
      <c r="I14" s="58">
        <f t="shared" si="3"/>
        <v>2</v>
      </c>
    </row>
    <row r="15" spans="2:9" hidden="1">
      <c r="B15" s="57" t="s">
        <v>82</v>
      </c>
      <c r="C15" s="60">
        <v>130</v>
      </c>
      <c r="D15" s="59">
        <v>130</v>
      </c>
      <c r="E15" s="59">
        <f t="shared" si="0"/>
        <v>1040</v>
      </c>
      <c r="F15" s="58">
        <v>133</v>
      </c>
      <c r="G15" s="59">
        <f t="shared" si="1"/>
        <v>532</v>
      </c>
      <c r="H15" s="60">
        <f t="shared" si="2"/>
        <v>131</v>
      </c>
      <c r="I15" s="58">
        <f t="shared" si="3"/>
        <v>131</v>
      </c>
    </row>
    <row r="16" spans="2:9" hidden="1">
      <c r="B16" s="57" t="s">
        <v>83</v>
      </c>
      <c r="C16" s="60">
        <v>110</v>
      </c>
      <c r="D16" s="59">
        <v>112</v>
      </c>
      <c r="E16" s="59">
        <f t="shared" si="0"/>
        <v>896</v>
      </c>
      <c r="F16" s="58">
        <v>102</v>
      </c>
      <c r="G16" s="59">
        <f t="shared" si="1"/>
        <v>408</v>
      </c>
      <c r="H16" s="60">
        <f t="shared" si="2"/>
        <v>108.66666666666667</v>
      </c>
      <c r="I16" s="58">
        <f t="shared" si="3"/>
        <v>109</v>
      </c>
    </row>
    <row r="17" spans="2:9" hidden="1">
      <c r="B17" s="57" t="s">
        <v>84</v>
      </c>
      <c r="C17" s="60">
        <v>92</v>
      </c>
      <c r="D17" s="59">
        <v>98</v>
      </c>
      <c r="E17" s="59">
        <f t="shared" si="0"/>
        <v>784</v>
      </c>
      <c r="F17" s="58">
        <v>99</v>
      </c>
      <c r="G17" s="59">
        <f t="shared" si="1"/>
        <v>396</v>
      </c>
      <c r="H17" s="60">
        <f t="shared" si="2"/>
        <v>98.333333333333329</v>
      </c>
      <c r="I17" s="58">
        <f t="shared" si="3"/>
        <v>98</v>
      </c>
    </row>
    <row r="18" spans="2:9" hidden="1">
      <c r="B18" s="57" t="s">
        <v>85</v>
      </c>
      <c r="C18" s="60">
        <v>145</v>
      </c>
      <c r="D18" s="59">
        <v>145</v>
      </c>
      <c r="E18" s="59">
        <f t="shared" si="0"/>
        <v>1160</v>
      </c>
      <c r="F18" s="58">
        <v>148</v>
      </c>
      <c r="G18" s="59">
        <f t="shared" si="1"/>
        <v>592</v>
      </c>
      <c r="H18" s="60">
        <f t="shared" si="2"/>
        <v>146</v>
      </c>
      <c r="I18" s="58">
        <f t="shared" si="3"/>
        <v>146</v>
      </c>
    </row>
    <row r="19" spans="2:9" hidden="1">
      <c r="B19" s="57" t="s">
        <v>86</v>
      </c>
      <c r="C19" s="60">
        <v>35</v>
      </c>
      <c r="D19" s="59">
        <v>35</v>
      </c>
      <c r="E19" s="59">
        <f t="shared" si="0"/>
        <v>280</v>
      </c>
      <c r="F19" s="58">
        <v>38</v>
      </c>
      <c r="G19" s="59">
        <f t="shared" si="1"/>
        <v>152</v>
      </c>
      <c r="H19" s="60">
        <f t="shared" si="2"/>
        <v>36</v>
      </c>
      <c r="I19" s="58">
        <f t="shared" si="3"/>
        <v>36</v>
      </c>
    </row>
    <row r="20" spans="2:9" hidden="1">
      <c r="B20" s="57" t="s">
        <v>87</v>
      </c>
      <c r="C20" s="58">
        <v>678</v>
      </c>
      <c r="D20" s="59">
        <v>665</v>
      </c>
      <c r="E20" s="59">
        <f t="shared" si="0"/>
        <v>5320</v>
      </c>
      <c r="F20" s="58">
        <v>710</v>
      </c>
      <c r="G20" s="59">
        <f t="shared" si="1"/>
        <v>2840</v>
      </c>
      <c r="H20" s="60">
        <v>710</v>
      </c>
      <c r="I20" s="58">
        <f t="shared" si="3"/>
        <v>710</v>
      </c>
    </row>
    <row r="21" spans="2:9" hidden="1">
      <c r="B21" s="61" t="s">
        <v>88</v>
      </c>
      <c r="C21" s="58">
        <v>665</v>
      </c>
      <c r="D21" s="59">
        <v>665</v>
      </c>
      <c r="E21" s="59">
        <f t="shared" si="0"/>
        <v>5320</v>
      </c>
      <c r="F21" s="58">
        <v>665</v>
      </c>
      <c r="G21" s="59">
        <f t="shared" si="1"/>
        <v>2660</v>
      </c>
      <c r="H21" s="60">
        <v>665</v>
      </c>
      <c r="I21" s="58">
        <f t="shared" si="3"/>
        <v>665</v>
      </c>
    </row>
    <row r="22" spans="2:9" hidden="1">
      <c r="B22" s="57" t="s">
        <v>89</v>
      </c>
      <c r="C22" s="58">
        <v>595</v>
      </c>
      <c r="D22" s="59">
        <v>565</v>
      </c>
      <c r="E22" s="59">
        <f t="shared" si="0"/>
        <v>4520</v>
      </c>
      <c r="F22" s="58">
        <v>535</v>
      </c>
      <c r="G22" s="59">
        <f t="shared" si="1"/>
        <v>2140</v>
      </c>
      <c r="H22" s="60">
        <v>535</v>
      </c>
      <c r="I22" s="58">
        <f t="shared" si="3"/>
        <v>535</v>
      </c>
    </row>
    <row r="23" spans="2:9" hidden="1">
      <c r="B23" s="61" t="s">
        <v>90</v>
      </c>
      <c r="C23" s="58">
        <v>140</v>
      </c>
      <c r="D23" s="59">
        <v>140</v>
      </c>
      <c r="E23" s="59">
        <f t="shared" si="0"/>
        <v>1120</v>
      </c>
      <c r="F23" s="58">
        <v>140</v>
      </c>
      <c r="G23" s="59">
        <f t="shared" si="1"/>
        <v>560</v>
      </c>
      <c r="H23" s="60">
        <v>140</v>
      </c>
      <c r="I23" s="58">
        <f t="shared" si="3"/>
        <v>140</v>
      </c>
    </row>
    <row r="24" spans="2:9" hidden="1">
      <c r="B24" s="57"/>
      <c r="C24" s="58">
        <f>SUM(C4:C23)</f>
        <v>4066</v>
      </c>
      <c r="D24" s="59">
        <f>SUM(D4:D23)</f>
        <v>4030</v>
      </c>
      <c r="E24" s="59">
        <f t="shared" ref="E24:H24" si="4">SUM(E4:E23)</f>
        <v>32240</v>
      </c>
      <c r="F24" s="58">
        <f t="shared" si="4"/>
        <v>4040</v>
      </c>
      <c r="G24" s="59">
        <f t="shared" si="4"/>
        <v>16160</v>
      </c>
      <c r="H24" s="60">
        <f t="shared" si="4"/>
        <v>4043.333333333333</v>
      </c>
      <c r="I24" s="58">
        <f t="shared" si="3"/>
        <v>4043</v>
      </c>
    </row>
    <row r="25" spans="2:9" ht="15.75" hidden="1">
      <c r="B25" s="62" t="s">
        <v>91</v>
      </c>
      <c r="C25" s="63">
        <f>C4+C5+C6+C8+C10+C11+C13</f>
        <v>1347</v>
      </c>
      <c r="D25" s="63">
        <f>D4+D5+D6+D8+D10+D11+D13</f>
        <v>1353</v>
      </c>
      <c r="E25" s="63"/>
      <c r="F25" s="63">
        <f t="shared" ref="F25" si="5">F4+F5+F6+F8+F10+F11+F13</f>
        <v>1353</v>
      </c>
      <c r="G25" s="64"/>
      <c r="H25" s="63">
        <f>H4+H5+H6+H8+H10+H11+H13</f>
        <v>1352.9999999999998</v>
      </c>
      <c r="I25" s="63">
        <f>I4+I5+I6+I8+I10+I11+I13</f>
        <v>1351</v>
      </c>
    </row>
    <row r="26" spans="2:9" ht="15.75" hidden="1">
      <c r="B26" s="64" t="s">
        <v>92</v>
      </c>
      <c r="C26" s="63">
        <f>C7+C9+C12+C14+C15+C16+C17+C18+C19</f>
        <v>641</v>
      </c>
      <c r="D26" s="63">
        <f>D7+D9+D12+D14+D15+D16+D17+D18+D19</f>
        <v>642</v>
      </c>
      <c r="E26" s="63"/>
      <c r="F26" s="63">
        <f t="shared" ref="F26" si="6">F7+F9+F12+F14+F15+F16+F17+F18+F19</f>
        <v>637</v>
      </c>
      <c r="G26" s="64"/>
      <c r="H26" s="63">
        <f>H7+H9+H12+H14+H15+H16+H17+H18+H19</f>
        <v>640.33333333333326</v>
      </c>
      <c r="I26" s="63">
        <f>I7+I9+I12+I14+I15+I16+I17+I18+I19</f>
        <v>640</v>
      </c>
    </row>
    <row r="27" spans="2:9" ht="15.75" hidden="1">
      <c r="B27" s="64" t="s">
        <v>93</v>
      </c>
      <c r="C27" s="63">
        <f>C26</f>
        <v>641</v>
      </c>
      <c r="D27" s="63">
        <f>D26</f>
        <v>642</v>
      </c>
      <c r="E27" s="63"/>
      <c r="F27" s="63">
        <f t="shared" ref="F27" si="7">F26</f>
        <v>637</v>
      </c>
      <c r="G27" s="64"/>
      <c r="H27" s="63">
        <f>H26</f>
        <v>640.33333333333326</v>
      </c>
      <c r="I27" s="63">
        <f>I26</f>
        <v>640</v>
      </c>
    </row>
    <row r="28" spans="2:9" ht="15.75" hidden="1">
      <c r="B28" s="64" t="s">
        <v>94</v>
      </c>
      <c r="C28" s="63">
        <f>C20+C22</f>
        <v>1273</v>
      </c>
      <c r="D28" s="63">
        <f>D20+D22</f>
        <v>1230</v>
      </c>
      <c r="E28" s="63"/>
      <c r="F28" s="63">
        <f>F20+F22</f>
        <v>1245</v>
      </c>
      <c r="G28" s="64"/>
      <c r="H28" s="63">
        <f>H20+H22</f>
        <v>1245</v>
      </c>
      <c r="I28" s="63">
        <f>I20+I22</f>
        <v>1245</v>
      </c>
    </row>
    <row r="29" spans="2:9" ht="15.75" hidden="1">
      <c r="B29" s="64" t="s">
        <v>95</v>
      </c>
      <c r="C29" s="63">
        <f>C21+C23</f>
        <v>805</v>
      </c>
      <c r="D29" s="63">
        <f>D21+D23</f>
        <v>805</v>
      </c>
      <c r="E29" s="63"/>
      <c r="F29" s="63">
        <f t="shared" ref="F29" si="8">F21+F23</f>
        <v>805</v>
      </c>
      <c r="G29" s="64"/>
      <c r="H29" s="63">
        <f>H21+H23</f>
        <v>805</v>
      </c>
      <c r="I29" s="63">
        <f>I21+I23</f>
        <v>805</v>
      </c>
    </row>
    <row r="30" spans="2:9" ht="15.75" hidden="1">
      <c r="B30" s="64" t="s">
        <v>27</v>
      </c>
      <c r="C30" s="64"/>
      <c r="D30" s="64"/>
      <c r="E30" s="64"/>
      <c r="F30" s="64"/>
      <c r="G30" s="64"/>
      <c r="H30" s="63">
        <f>SUM(H25:H29)</f>
        <v>4683.6666666666661</v>
      </c>
      <c r="I30" s="65"/>
    </row>
    <row r="31" spans="2:9" ht="15.75" hidden="1">
      <c r="B31" s="66"/>
      <c r="C31" s="66"/>
      <c r="D31" s="66"/>
      <c r="E31" s="66"/>
      <c r="F31" s="66"/>
      <c r="G31" s="66"/>
      <c r="H31" s="67"/>
      <c r="I31" s="66"/>
    </row>
    <row r="32" spans="2:9" ht="15.75" hidden="1">
      <c r="B32" s="66"/>
      <c r="C32" s="66"/>
      <c r="D32" s="66"/>
      <c r="E32" s="66"/>
      <c r="F32" s="66"/>
      <c r="G32" s="66"/>
      <c r="H32" s="67"/>
      <c r="I32" s="66"/>
    </row>
    <row r="33" spans="1:16" s="56" customFormat="1" ht="78" customHeight="1" thickBot="1">
      <c r="A33" s="68" t="s">
        <v>96</v>
      </c>
      <c r="B33" s="69"/>
      <c r="C33" s="69" t="s">
        <v>64</v>
      </c>
      <c r="D33" s="69" t="s">
        <v>65</v>
      </c>
      <c r="E33" s="69" t="s">
        <v>66</v>
      </c>
      <c r="F33" s="69" t="s">
        <v>67</v>
      </c>
      <c r="G33" s="69" t="s">
        <v>68</v>
      </c>
      <c r="H33" s="69" t="s">
        <v>69</v>
      </c>
      <c r="I33" s="69" t="s">
        <v>70</v>
      </c>
      <c r="M33" s="70"/>
      <c r="N33" s="70"/>
      <c r="O33" s="70"/>
      <c r="P33" s="70"/>
    </row>
    <row r="34" spans="1:16" ht="19.5" thickBot="1">
      <c r="A34" s="409" t="s">
        <v>97</v>
      </c>
      <c r="B34" s="71" t="s">
        <v>98</v>
      </c>
      <c r="C34" s="72">
        <v>69</v>
      </c>
      <c r="D34" s="73">
        <v>66</v>
      </c>
      <c r="E34" s="74">
        <f t="shared" ref="E34:E39" si="9">D34*8</f>
        <v>528</v>
      </c>
      <c r="F34" s="75">
        <v>73</v>
      </c>
      <c r="G34" s="74">
        <f t="shared" ref="G34:G39" si="10">F34*4</f>
        <v>292</v>
      </c>
      <c r="H34" s="76">
        <f>ROUND((E34+G34)/12,0)</f>
        <v>68</v>
      </c>
      <c r="I34" s="77">
        <f t="shared" ref="I34:I39" si="11">ROUND(H34,0)</f>
        <v>68</v>
      </c>
      <c r="M34" s="78"/>
      <c r="N34" s="79"/>
      <c r="O34" s="78"/>
      <c r="P34" s="80"/>
    </row>
    <row r="35" spans="1:16" ht="19.5" hidden="1" thickBot="1">
      <c r="A35" s="411"/>
      <c r="B35" s="81" t="s">
        <v>99</v>
      </c>
      <c r="C35" s="82">
        <v>15</v>
      </c>
      <c r="D35" s="83">
        <v>15</v>
      </c>
      <c r="E35" s="59">
        <f t="shared" si="9"/>
        <v>120</v>
      </c>
      <c r="F35" s="84">
        <v>15</v>
      </c>
      <c r="G35" s="59">
        <f t="shared" si="10"/>
        <v>60</v>
      </c>
      <c r="H35" s="85">
        <f t="shared" ref="H35:H98" si="12">ROUND((E35+G35)/12,0)</f>
        <v>15</v>
      </c>
      <c r="I35" s="86">
        <f t="shared" si="11"/>
        <v>15</v>
      </c>
      <c r="M35" s="78"/>
      <c r="N35" s="79"/>
      <c r="O35" s="78"/>
      <c r="P35" s="80"/>
    </row>
    <row r="36" spans="1:16" ht="23.25" hidden="1" customHeight="1" thickBot="1">
      <c r="A36" s="412"/>
      <c r="B36" s="87" t="s">
        <v>100</v>
      </c>
      <c r="C36" s="88">
        <v>18</v>
      </c>
      <c r="D36" s="89">
        <v>14</v>
      </c>
      <c r="E36" s="90">
        <f t="shared" si="9"/>
        <v>112</v>
      </c>
      <c r="F36" s="91">
        <v>23</v>
      </c>
      <c r="G36" s="90">
        <f t="shared" si="10"/>
        <v>92</v>
      </c>
      <c r="H36" s="92">
        <f t="shared" si="12"/>
        <v>17</v>
      </c>
      <c r="I36" s="93">
        <f t="shared" si="11"/>
        <v>17</v>
      </c>
      <c r="M36" s="78"/>
      <c r="N36" s="79"/>
      <c r="O36" s="78"/>
      <c r="P36" s="80"/>
    </row>
    <row r="37" spans="1:16" ht="19.5" customHeight="1">
      <c r="A37" s="413" t="s">
        <v>101</v>
      </c>
      <c r="B37" s="94" t="s">
        <v>98</v>
      </c>
      <c r="C37" s="72">
        <v>69</v>
      </c>
      <c r="D37" s="73">
        <v>66</v>
      </c>
      <c r="E37" s="74">
        <f>D37*8</f>
        <v>528</v>
      </c>
      <c r="F37" s="95">
        <v>73</v>
      </c>
      <c r="G37" s="74">
        <f t="shared" si="10"/>
        <v>292</v>
      </c>
      <c r="H37" s="76">
        <f t="shared" si="12"/>
        <v>68</v>
      </c>
      <c r="I37" s="77">
        <f t="shared" si="11"/>
        <v>68</v>
      </c>
      <c r="M37" s="96"/>
      <c r="N37" s="79"/>
      <c r="O37" s="78"/>
      <c r="P37" s="80"/>
    </row>
    <row r="38" spans="1:16" ht="18.75" hidden="1">
      <c r="A38" s="414"/>
      <c r="B38" s="97" t="s">
        <v>99</v>
      </c>
      <c r="C38" s="82">
        <v>15</v>
      </c>
      <c r="D38" s="83">
        <v>15</v>
      </c>
      <c r="E38" s="59">
        <f t="shared" si="9"/>
        <v>120</v>
      </c>
      <c r="F38" s="84">
        <v>15</v>
      </c>
      <c r="G38" s="59">
        <f t="shared" si="10"/>
        <v>60</v>
      </c>
      <c r="H38" s="85">
        <f t="shared" si="12"/>
        <v>15</v>
      </c>
      <c r="I38" s="86">
        <f t="shared" si="11"/>
        <v>15</v>
      </c>
      <c r="M38" s="96"/>
      <c r="N38" s="79"/>
      <c r="O38" s="78"/>
      <c r="P38" s="80"/>
    </row>
    <row r="39" spans="1:16" ht="15.75" hidden="1" customHeight="1" thickBot="1">
      <c r="A39" s="415"/>
      <c r="B39" s="98" t="s">
        <v>100</v>
      </c>
      <c r="C39" s="88">
        <v>17</v>
      </c>
      <c r="D39" s="89">
        <v>14</v>
      </c>
      <c r="E39" s="90">
        <f t="shared" si="9"/>
        <v>112</v>
      </c>
      <c r="F39" s="91">
        <v>23</v>
      </c>
      <c r="G39" s="90">
        <f t="shared" si="10"/>
        <v>92</v>
      </c>
      <c r="H39" s="92">
        <f t="shared" si="12"/>
        <v>17</v>
      </c>
      <c r="I39" s="93">
        <f t="shared" si="11"/>
        <v>17</v>
      </c>
      <c r="M39" s="96"/>
      <c r="N39" s="79"/>
      <c r="O39" s="78"/>
      <c r="P39" s="80"/>
    </row>
    <row r="40" spans="1:16" ht="64.5" hidden="1" customHeight="1">
      <c r="A40" s="409" t="s">
        <v>35</v>
      </c>
      <c r="B40" s="94" t="s">
        <v>102</v>
      </c>
      <c r="C40" s="72">
        <v>245</v>
      </c>
      <c r="D40" s="73">
        <v>245</v>
      </c>
      <c r="E40" s="74">
        <f>D40*8</f>
        <v>1960</v>
      </c>
      <c r="F40" s="75">
        <v>230</v>
      </c>
      <c r="G40" s="74">
        <f>F40*4</f>
        <v>920</v>
      </c>
      <c r="H40" s="76">
        <f t="shared" si="12"/>
        <v>240</v>
      </c>
      <c r="I40" s="77">
        <f>ROUND(H40,0)</f>
        <v>240</v>
      </c>
      <c r="M40" s="96"/>
      <c r="N40" s="79"/>
      <c r="O40" s="78"/>
      <c r="P40" s="80"/>
    </row>
    <row r="41" spans="1:16" ht="33" hidden="1" customHeight="1">
      <c r="A41" s="410"/>
      <c r="B41" s="97" t="s">
        <v>103</v>
      </c>
      <c r="C41" s="82">
        <v>162</v>
      </c>
      <c r="D41" s="83">
        <v>162</v>
      </c>
      <c r="E41" s="59">
        <f t="shared" ref="E41:E202" si="13">D41*8</f>
        <v>1296</v>
      </c>
      <c r="F41" s="84">
        <v>174</v>
      </c>
      <c r="G41" s="59">
        <f t="shared" ref="G41:G202" si="14">F41*4</f>
        <v>696</v>
      </c>
      <c r="H41" s="85">
        <f t="shared" si="12"/>
        <v>166</v>
      </c>
      <c r="I41" s="86">
        <f t="shared" ref="I41:I203" si="15">ROUND(H41,0)</f>
        <v>166</v>
      </c>
      <c r="M41" s="96"/>
      <c r="N41" s="79"/>
      <c r="O41" s="78"/>
      <c r="P41" s="80"/>
    </row>
    <row r="42" spans="1:16" ht="18.75">
      <c r="A42" s="411"/>
      <c r="B42" s="97" t="s">
        <v>98</v>
      </c>
      <c r="C42" s="82">
        <v>88</v>
      </c>
      <c r="D42" s="83">
        <v>85</v>
      </c>
      <c r="E42" s="59">
        <f t="shared" si="13"/>
        <v>680</v>
      </c>
      <c r="F42" s="84">
        <v>82</v>
      </c>
      <c r="G42" s="59">
        <f t="shared" si="14"/>
        <v>328</v>
      </c>
      <c r="H42" s="85">
        <f t="shared" si="12"/>
        <v>84</v>
      </c>
      <c r="I42" s="86">
        <f t="shared" si="15"/>
        <v>84</v>
      </c>
      <c r="M42" s="96"/>
      <c r="N42" s="79"/>
      <c r="O42" s="78"/>
      <c r="P42" s="80"/>
    </row>
    <row r="43" spans="1:16" ht="18.75" hidden="1">
      <c r="A43" s="411"/>
      <c r="B43" s="97" t="s">
        <v>99</v>
      </c>
      <c r="C43" s="82">
        <v>26</v>
      </c>
      <c r="D43" s="83">
        <v>26</v>
      </c>
      <c r="E43" s="59">
        <f t="shared" si="13"/>
        <v>208</v>
      </c>
      <c r="F43" s="84">
        <v>19</v>
      </c>
      <c r="G43" s="59">
        <f t="shared" si="14"/>
        <v>76</v>
      </c>
      <c r="H43" s="85">
        <f t="shared" si="12"/>
        <v>24</v>
      </c>
      <c r="I43" s="86">
        <f t="shared" si="15"/>
        <v>24</v>
      </c>
      <c r="M43" s="96"/>
      <c r="N43" s="79"/>
      <c r="O43" s="78"/>
      <c r="P43" s="80"/>
    </row>
    <row r="44" spans="1:16" hidden="1">
      <c r="A44" s="411"/>
      <c r="B44" s="97" t="s">
        <v>104</v>
      </c>
      <c r="C44" s="82">
        <v>30</v>
      </c>
      <c r="D44" s="83">
        <v>29</v>
      </c>
      <c r="E44" s="59">
        <f t="shared" si="13"/>
        <v>232</v>
      </c>
      <c r="F44" s="84">
        <v>32</v>
      </c>
      <c r="G44" s="59">
        <f t="shared" si="14"/>
        <v>128</v>
      </c>
      <c r="H44" s="85">
        <f t="shared" si="12"/>
        <v>30</v>
      </c>
      <c r="I44" s="86">
        <f t="shared" si="15"/>
        <v>30</v>
      </c>
      <c r="M44" s="80"/>
      <c r="N44" s="80"/>
      <c r="O44" s="80"/>
      <c r="P44" s="80"/>
    </row>
    <row r="45" spans="1:16" ht="15.75" hidden="1" customHeight="1">
      <c r="A45" s="411"/>
      <c r="B45" s="97" t="s">
        <v>100</v>
      </c>
      <c r="C45" s="82">
        <v>24</v>
      </c>
      <c r="D45" s="83">
        <v>24</v>
      </c>
      <c r="E45" s="59">
        <f t="shared" si="13"/>
        <v>192</v>
      </c>
      <c r="F45" s="84">
        <v>18</v>
      </c>
      <c r="G45" s="59">
        <f t="shared" si="14"/>
        <v>72</v>
      </c>
      <c r="H45" s="85">
        <f t="shared" si="12"/>
        <v>22</v>
      </c>
      <c r="I45" s="86">
        <f t="shared" si="15"/>
        <v>22</v>
      </c>
      <c r="M45" s="80"/>
      <c r="N45" s="80"/>
      <c r="O45" s="80"/>
      <c r="P45" s="80"/>
    </row>
    <row r="46" spans="1:16" ht="39" hidden="1" customHeight="1" thickBot="1">
      <c r="A46" s="412"/>
      <c r="B46" s="98" t="s">
        <v>105</v>
      </c>
      <c r="C46" s="88">
        <v>8</v>
      </c>
      <c r="D46" s="89">
        <v>8</v>
      </c>
      <c r="E46" s="90">
        <f t="shared" si="13"/>
        <v>64</v>
      </c>
      <c r="F46" s="91">
        <v>7</v>
      </c>
      <c r="G46" s="90">
        <f t="shared" si="14"/>
        <v>28</v>
      </c>
      <c r="H46" s="92">
        <f t="shared" si="12"/>
        <v>8</v>
      </c>
      <c r="I46" s="93">
        <f t="shared" si="15"/>
        <v>8</v>
      </c>
      <c r="M46" s="80"/>
      <c r="N46" s="80"/>
      <c r="O46" s="80"/>
      <c r="P46" s="80"/>
    </row>
    <row r="47" spans="1:16" ht="43.5" hidden="1" customHeight="1" thickBot="1">
      <c r="A47" s="411" t="s">
        <v>38</v>
      </c>
      <c r="B47" s="99" t="s">
        <v>102</v>
      </c>
      <c r="C47" s="100">
        <v>250</v>
      </c>
      <c r="D47" s="101">
        <v>244</v>
      </c>
      <c r="E47" s="102">
        <f>D47*8</f>
        <v>1952</v>
      </c>
      <c r="F47" s="103">
        <v>254</v>
      </c>
      <c r="G47" s="102">
        <f>F47*4</f>
        <v>1016</v>
      </c>
      <c r="H47" s="104">
        <f t="shared" si="12"/>
        <v>247</v>
      </c>
      <c r="I47" s="105">
        <f>ROUND(H47,0)</f>
        <v>247</v>
      </c>
    </row>
    <row r="48" spans="1:16" ht="28.5" hidden="1" customHeight="1">
      <c r="A48" s="410"/>
      <c r="B48" s="97" t="s">
        <v>103</v>
      </c>
      <c r="C48" s="82">
        <v>171</v>
      </c>
      <c r="D48" s="83">
        <v>168</v>
      </c>
      <c r="E48" s="59">
        <f t="shared" ref="E48:E53" si="16">D48*8</f>
        <v>1344</v>
      </c>
      <c r="F48" s="84">
        <v>166</v>
      </c>
      <c r="G48" s="59">
        <f t="shared" ref="G48:G53" si="17">F48*4</f>
        <v>664</v>
      </c>
      <c r="H48" s="85">
        <f t="shared" si="12"/>
        <v>167</v>
      </c>
      <c r="I48" s="58">
        <f t="shared" ref="I48:I53" si="18">ROUND(H48,0)</f>
        <v>167</v>
      </c>
    </row>
    <row r="49" spans="1:12">
      <c r="A49" s="411"/>
      <c r="B49" s="97" t="s">
        <v>98</v>
      </c>
      <c r="C49" s="82">
        <v>101</v>
      </c>
      <c r="D49" s="83">
        <v>99</v>
      </c>
      <c r="E49" s="59">
        <f t="shared" si="16"/>
        <v>792</v>
      </c>
      <c r="F49" s="84">
        <v>103</v>
      </c>
      <c r="G49" s="59">
        <f t="shared" si="17"/>
        <v>412</v>
      </c>
      <c r="H49" s="85">
        <f t="shared" si="12"/>
        <v>100</v>
      </c>
      <c r="I49" s="58">
        <f t="shared" si="18"/>
        <v>100</v>
      </c>
      <c r="L49" s="80"/>
    </row>
    <row r="50" spans="1:12" hidden="1">
      <c r="A50" s="411"/>
      <c r="B50" s="97" t="s">
        <v>99</v>
      </c>
      <c r="C50" s="82">
        <v>31</v>
      </c>
      <c r="D50" s="83">
        <v>31</v>
      </c>
      <c r="E50" s="59">
        <f t="shared" si="16"/>
        <v>248</v>
      </c>
      <c r="F50" s="84">
        <v>31</v>
      </c>
      <c r="G50" s="59">
        <f t="shared" si="17"/>
        <v>124</v>
      </c>
      <c r="H50" s="85">
        <f t="shared" si="12"/>
        <v>31</v>
      </c>
      <c r="I50" s="58">
        <f t="shared" si="18"/>
        <v>31</v>
      </c>
      <c r="L50" s="80"/>
    </row>
    <row r="51" spans="1:12" hidden="1">
      <c r="A51" s="411"/>
      <c r="B51" s="97" t="s">
        <v>104</v>
      </c>
      <c r="C51" s="82">
        <v>49</v>
      </c>
      <c r="D51" s="83">
        <v>51</v>
      </c>
      <c r="E51" s="59">
        <f t="shared" si="16"/>
        <v>408</v>
      </c>
      <c r="F51" s="84">
        <v>44</v>
      </c>
      <c r="G51" s="59">
        <f t="shared" si="17"/>
        <v>176</v>
      </c>
      <c r="H51" s="85">
        <f t="shared" si="12"/>
        <v>49</v>
      </c>
      <c r="I51" s="58">
        <f t="shared" si="18"/>
        <v>49</v>
      </c>
      <c r="L51" s="106"/>
    </row>
    <row r="52" spans="1:12" ht="15.75" hidden="1" customHeight="1">
      <c r="A52" s="411"/>
      <c r="B52" s="97" t="s">
        <v>100</v>
      </c>
      <c r="C52" s="82">
        <v>22</v>
      </c>
      <c r="D52" s="83">
        <v>21</v>
      </c>
      <c r="E52" s="59">
        <f t="shared" si="16"/>
        <v>168</v>
      </c>
      <c r="F52" s="84">
        <v>23</v>
      </c>
      <c r="G52" s="59">
        <f t="shared" si="17"/>
        <v>92</v>
      </c>
      <c r="H52" s="85">
        <f t="shared" si="12"/>
        <v>22</v>
      </c>
      <c r="I52" s="58">
        <f t="shared" si="18"/>
        <v>22</v>
      </c>
      <c r="L52" s="106"/>
    </row>
    <row r="53" spans="1:12" ht="50.25" hidden="1" customHeight="1">
      <c r="A53" s="411"/>
      <c r="B53" s="107" t="s">
        <v>105</v>
      </c>
      <c r="C53" s="108">
        <v>6</v>
      </c>
      <c r="D53" s="109">
        <v>6</v>
      </c>
      <c r="E53" s="110">
        <f t="shared" si="16"/>
        <v>48</v>
      </c>
      <c r="F53" s="111">
        <v>7</v>
      </c>
      <c r="G53" s="110">
        <f t="shared" si="17"/>
        <v>28</v>
      </c>
      <c r="H53" s="112">
        <f t="shared" si="12"/>
        <v>6</v>
      </c>
      <c r="I53" s="113">
        <f t="shared" si="18"/>
        <v>6</v>
      </c>
      <c r="L53" s="106"/>
    </row>
    <row r="54" spans="1:12" ht="30.75" hidden="1" customHeight="1" thickBot="1">
      <c r="A54" s="409" t="s">
        <v>39</v>
      </c>
      <c r="B54" s="94" t="s">
        <v>102</v>
      </c>
      <c r="C54" s="72">
        <v>67</v>
      </c>
      <c r="D54" s="73">
        <v>64</v>
      </c>
      <c r="E54" s="74">
        <f>D54*8</f>
        <v>512</v>
      </c>
      <c r="F54" s="75">
        <v>61</v>
      </c>
      <c r="G54" s="74">
        <f>F54*4</f>
        <v>244</v>
      </c>
      <c r="H54" s="76">
        <f t="shared" si="12"/>
        <v>63</v>
      </c>
      <c r="I54" s="77">
        <f>ROUND(H54,0)</f>
        <v>63</v>
      </c>
      <c r="L54" s="106"/>
    </row>
    <row r="55" spans="1:12" ht="28.5" hidden="1" customHeight="1">
      <c r="A55" s="410"/>
      <c r="B55" s="97" t="s">
        <v>103</v>
      </c>
      <c r="C55" s="82">
        <v>43</v>
      </c>
      <c r="D55" s="83">
        <v>43</v>
      </c>
      <c r="E55" s="59">
        <f t="shared" ref="E55:E59" si="19">D55*8</f>
        <v>344</v>
      </c>
      <c r="F55" s="84">
        <v>43</v>
      </c>
      <c r="G55" s="59">
        <f t="shared" ref="G55:G59" si="20">F55*4</f>
        <v>172</v>
      </c>
      <c r="H55" s="85">
        <f t="shared" si="12"/>
        <v>43</v>
      </c>
      <c r="I55" s="86">
        <f t="shared" ref="I55:I59" si="21">ROUND(H55,0)</f>
        <v>43</v>
      </c>
      <c r="L55" s="106"/>
    </row>
    <row r="56" spans="1:12">
      <c r="A56" s="411"/>
      <c r="B56" s="97" t="s">
        <v>98</v>
      </c>
      <c r="C56" s="82">
        <v>26</v>
      </c>
      <c r="D56" s="83">
        <v>24</v>
      </c>
      <c r="E56" s="59">
        <f t="shared" si="19"/>
        <v>192</v>
      </c>
      <c r="F56" s="84">
        <v>33</v>
      </c>
      <c r="G56" s="59">
        <f t="shared" si="20"/>
        <v>132</v>
      </c>
      <c r="H56" s="85">
        <f t="shared" si="12"/>
        <v>27</v>
      </c>
      <c r="I56" s="86">
        <f t="shared" si="21"/>
        <v>27</v>
      </c>
      <c r="L56" s="80"/>
    </row>
    <row r="57" spans="1:12" ht="42" hidden="1" customHeight="1">
      <c r="A57" s="411"/>
      <c r="B57" s="97" t="s">
        <v>99</v>
      </c>
      <c r="C57" s="82">
        <v>10</v>
      </c>
      <c r="D57" s="83">
        <v>11</v>
      </c>
      <c r="E57" s="59">
        <f t="shared" si="19"/>
        <v>88</v>
      </c>
      <c r="F57" s="84">
        <v>10</v>
      </c>
      <c r="G57" s="59">
        <f t="shared" si="20"/>
        <v>40</v>
      </c>
      <c r="H57" s="85">
        <f t="shared" si="12"/>
        <v>11</v>
      </c>
      <c r="I57" s="86">
        <f t="shared" si="21"/>
        <v>11</v>
      </c>
    </row>
    <row r="58" spans="1:12" hidden="1">
      <c r="A58" s="411"/>
      <c r="B58" s="97" t="s">
        <v>104</v>
      </c>
      <c r="C58" s="82">
        <v>16</v>
      </c>
      <c r="D58" s="83">
        <v>16</v>
      </c>
      <c r="E58" s="59">
        <f t="shared" si="19"/>
        <v>128</v>
      </c>
      <c r="F58" s="84">
        <v>20</v>
      </c>
      <c r="G58" s="59">
        <f t="shared" si="20"/>
        <v>80</v>
      </c>
      <c r="H58" s="85">
        <f t="shared" si="12"/>
        <v>17</v>
      </c>
      <c r="I58" s="86">
        <f t="shared" si="21"/>
        <v>17</v>
      </c>
    </row>
    <row r="59" spans="1:12" ht="15.75" hidden="1" customHeight="1" thickBot="1">
      <c r="A59" s="412"/>
      <c r="B59" s="98" t="s">
        <v>100</v>
      </c>
      <c r="C59" s="88">
        <v>5</v>
      </c>
      <c r="D59" s="89">
        <v>4</v>
      </c>
      <c r="E59" s="90">
        <f t="shared" si="19"/>
        <v>32</v>
      </c>
      <c r="F59" s="91">
        <v>4</v>
      </c>
      <c r="G59" s="90">
        <f t="shared" si="20"/>
        <v>16</v>
      </c>
      <c r="H59" s="92">
        <f t="shared" si="12"/>
        <v>4</v>
      </c>
      <c r="I59" s="93">
        <f t="shared" si="21"/>
        <v>4</v>
      </c>
    </row>
    <row r="60" spans="1:12" ht="58.5" hidden="1" customHeight="1" thickBot="1">
      <c r="A60" s="409" t="s">
        <v>40</v>
      </c>
      <c r="B60" s="94" t="s">
        <v>102</v>
      </c>
      <c r="C60" s="72"/>
      <c r="D60" s="73">
        <v>0</v>
      </c>
      <c r="E60" s="74">
        <f>D60*8</f>
        <v>0</v>
      </c>
      <c r="F60" s="75">
        <v>0</v>
      </c>
      <c r="G60" s="74">
        <f>F60*4</f>
        <v>0</v>
      </c>
      <c r="H60" s="76">
        <f t="shared" si="12"/>
        <v>0</v>
      </c>
      <c r="I60" s="77">
        <f>ROUND(H60,0)</f>
        <v>0</v>
      </c>
    </row>
    <row r="61" spans="1:12" ht="37.5" hidden="1" customHeight="1">
      <c r="A61" s="410"/>
      <c r="B61" s="97" t="s">
        <v>103</v>
      </c>
      <c r="C61" s="82">
        <v>0</v>
      </c>
      <c r="D61" s="83">
        <v>0</v>
      </c>
      <c r="E61" s="59">
        <f t="shared" ref="E61:E66" si="22">D61*8</f>
        <v>0</v>
      </c>
      <c r="F61" s="114">
        <v>1</v>
      </c>
      <c r="G61" s="59">
        <f t="shared" ref="G61:G66" si="23">F61*4</f>
        <v>4</v>
      </c>
      <c r="H61" s="85">
        <f t="shared" si="12"/>
        <v>0</v>
      </c>
      <c r="I61" s="86">
        <f t="shared" ref="I61:I66" si="24">ROUND(H61,0)</f>
        <v>0</v>
      </c>
      <c r="J61" s="115" t="s">
        <v>106</v>
      </c>
      <c r="K61" s="116"/>
      <c r="L61" s="116"/>
    </row>
    <row r="62" spans="1:12">
      <c r="A62" s="411"/>
      <c r="B62" s="97" t="s">
        <v>98</v>
      </c>
      <c r="C62" s="82"/>
      <c r="D62" s="83">
        <v>0</v>
      </c>
      <c r="E62" s="59">
        <f t="shared" si="22"/>
        <v>0</v>
      </c>
      <c r="F62" s="84">
        <v>0</v>
      </c>
      <c r="G62" s="59">
        <f t="shared" si="23"/>
        <v>0</v>
      </c>
      <c r="H62" s="85">
        <f t="shared" si="12"/>
        <v>0</v>
      </c>
      <c r="I62" s="86">
        <f t="shared" si="24"/>
        <v>0</v>
      </c>
    </row>
    <row r="63" spans="1:12" ht="15.75" hidden="1" customHeight="1">
      <c r="A63" s="411"/>
      <c r="B63" s="97" t="s">
        <v>99</v>
      </c>
      <c r="C63" s="82"/>
      <c r="D63" s="83">
        <v>0</v>
      </c>
      <c r="E63" s="59">
        <f t="shared" si="22"/>
        <v>0</v>
      </c>
      <c r="F63" s="84">
        <v>0</v>
      </c>
      <c r="G63" s="59">
        <f t="shared" si="23"/>
        <v>0</v>
      </c>
      <c r="H63" s="85">
        <f t="shared" si="12"/>
        <v>0</v>
      </c>
      <c r="I63" s="86">
        <f t="shared" si="24"/>
        <v>0</v>
      </c>
    </row>
    <row r="64" spans="1:12" hidden="1">
      <c r="A64" s="411"/>
      <c r="B64" s="97" t="s">
        <v>104</v>
      </c>
      <c r="C64" s="82"/>
      <c r="D64" s="83">
        <v>0</v>
      </c>
      <c r="E64" s="59">
        <f t="shared" si="22"/>
        <v>0</v>
      </c>
      <c r="F64" s="84">
        <v>0</v>
      </c>
      <c r="G64" s="59">
        <f t="shared" si="23"/>
        <v>0</v>
      </c>
      <c r="H64" s="85">
        <f t="shared" si="12"/>
        <v>0</v>
      </c>
      <c r="I64" s="86">
        <f t="shared" si="24"/>
        <v>0</v>
      </c>
    </row>
    <row r="65" spans="1:13" ht="15.75" hidden="1" customHeight="1">
      <c r="A65" s="411"/>
      <c r="B65" s="97" t="s">
        <v>100</v>
      </c>
      <c r="C65" s="82"/>
      <c r="D65" s="83">
        <v>0</v>
      </c>
      <c r="E65" s="59">
        <f t="shared" si="22"/>
        <v>0</v>
      </c>
      <c r="F65" s="84">
        <v>0</v>
      </c>
      <c r="G65" s="59">
        <f t="shared" si="23"/>
        <v>0</v>
      </c>
      <c r="H65" s="85">
        <f t="shared" si="12"/>
        <v>0</v>
      </c>
      <c r="I65" s="86">
        <f t="shared" si="24"/>
        <v>0</v>
      </c>
    </row>
    <row r="66" spans="1:13" ht="35.25" hidden="1" customHeight="1" thickBot="1">
      <c r="A66" s="412"/>
      <c r="B66" s="98" t="s">
        <v>105</v>
      </c>
      <c r="C66" s="88">
        <v>11</v>
      </c>
      <c r="D66" s="89">
        <v>10</v>
      </c>
      <c r="E66" s="90">
        <f t="shared" si="22"/>
        <v>80</v>
      </c>
      <c r="F66" s="91">
        <v>6</v>
      </c>
      <c r="G66" s="90">
        <f t="shared" si="23"/>
        <v>24</v>
      </c>
      <c r="H66" s="92">
        <f t="shared" si="12"/>
        <v>9</v>
      </c>
      <c r="I66" s="93">
        <f t="shared" si="24"/>
        <v>9</v>
      </c>
    </row>
    <row r="67" spans="1:13" ht="61.5" hidden="1" customHeight="1" thickBot="1">
      <c r="A67" s="409" t="s">
        <v>41</v>
      </c>
      <c r="B67" s="94" t="s">
        <v>102</v>
      </c>
      <c r="C67" s="72"/>
      <c r="D67" s="73">
        <v>0</v>
      </c>
      <c r="E67" s="74">
        <f>D67*8</f>
        <v>0</v>
      </c>
      <c r="F67" s="75">
        <v>0</v>
      </c>
      <c r="G67" s="74">
        <f>F67*4</f>
        <v>0</v>
      </c>
      <c r="H67" s="76">
        <f t="shared" si="12"/>
        <v>0</v>
      </c>
      <c r="I67" s="77">
        <f>ROUND(H67,0)</f>
        <v>0</v>
      </c>
    </row>
    <row r="68" spans="1:13" ht="12.75" hidden="1" customHeight="1">
      <c r="A68" s="410"/>
      <c r="B68" s="97" t="s">
        <v>103</v>
      </c>
      <c r="C68" s="82">
        <v>6</v>
      </c>
      <c r="D68" s="83">
        <v>6</v>
      </c>
      <c r="E68" s="59">
        <f t="shared" ref="E68:E73" si="25">D68*8</f>
        <v>48</v>
      </c>
      <c r="F68" s="84">
        <v>9</v>
      </c>
      <c r="G68" s="59">
        <f t="shared" ref="G68:G73" si="26">F68*4</f>
        <v>36</v>
      </c>
      <c r="H68" s="85">
        <f t="shared" si="12"/>
        <v>7</v>
      </c>
      <c r="I68" s="86">
        <f t="shared" ref="I68:I73" si="27">ROUND(H68,0)</f>
        <v>7</v>
      </c>
    </row>
    <row r="69" spans="1:13">
      <c r="A69" s="411"/>
      <c r="B69" s="97" t="s">
        <v>98</v>
      </c>
      <c r="C69" s="82"/>
      <c r="D69" s="83">
        <v>0</v>
      </c>
      <c r="E69" s="59">
        <f t="shared" si="25"/>
        <v>0</v>
      </c>
      <c r="F69" s="84">
        <v>0</v>
      </c>
      <c r="G69" s="59">
        <f t="shared" si="26"/>
        <v>0</v>
      </c>
      <c r="H69" s="85">
        <f t="shared" si="12"/>
        <v>0</v>
      </c>
      <c r="I69" s="86">
        <f t="shared" si="27"/>
        <v>0</v>
      </c>
    </row>
    <row r="70" spans="1:13" hidden="1">
      <c r="A70" s="411"/>
      <c r="B70" s="97" t="s">
        <v>99</v>
      </c>
      <c r="C70" s="82"/>
      <c r="D70" s="83">
        <v>0</v>
      </c>
      <c r="E70" s="59">
        <f t="shared" si="25"/>
        <v>0</v>
      </c>
      <c r="F70" s="84">
        <v>0</v>
      </c>
      <c r="G70" s="59">
        <f t="shared" si="26"/>
        <v>0</v>
      </c>
      <c r="H70" s="85">
        <f t="shared" si="12"/>
        <v>0</v>
      </c>
      <c r="I70" s="86">
        <f t="shared" si="27"/>
        <v>0</v>
      </c>
    </row>
    <row r="71" spans="1:13" hidden="1">
      <c r="A71" s="411"/>
      <c r="B71" s="97" t="s">
        <v>104</v>
      </c>
      <c r="C71" s="82"/>
      <c r="D71" s="83">
        <v>0</v>
      </c>
      <c r="E71" s="59">
        <f t="shared" si="25"/>
        <v>0</v>
      </c>
      <c r="F71" s="84">
        <v>0</v>
      </c>
      <c r="G71" s="59">
        <f t="shared" si="26"/>
        <v>0</v>
      </c>
      <c r="H71" s="85">
        <f t="shared" si="12"/>
        <v>0</v>
      </c>
      <c r="I71" s="86">
        <f t="shared" si="27"/>
        <v>0</v>
      </c>
    </row>
    <row r="72" spans="1:13" ht="15.75" hidden="1" customHeight="1">
      <c r="A72" s="411"/>
      <c r="B72" s="97" t="s">
        <v>100</v>
      </c>
      <c r="C72" s="82"/>
      <c r="D72" s="83">
        <v>0</v>
      </c>
      <c r="E72" s="59">
        <f t="shared" si="25"/>
        <v>0</v>
      </c>
      <c r="F72" s="84">
        <v>0</v>
      </c>
      <c r="G72" s="59">
        <f t="shared" si="26"/>
        <v>0</v>
      </c>
      <c r="H72" s="85">
        <f t="shared" si="12"/>
        <v>0</v>
      </c>
      <c r="I72" s="86">
        <f t="shared" si="27"/>
        <v>0</v>
      </c>
    </row>
    <row r="73" spans="1:13" ht="15.75" hidden="1" thickBot="1">
      <c r="A73" s="412"/>
      <c r="B73" s="98" t="s">
        <v>105</v>
      </c>
      <c r="C73" s="88"/>
      <c r="D73" s="89">
        <v>0</v>
      </c>
      <c r="E73" s="90">
        <f t="shared" si="25"/>
        <v>0</v>
      </c>
      <c r="F73" s="91">
        <v>0</v>
      </c>
      <c r="G73" s="90">
        <f t="shared" si="26"/>
        <v>0</v>
      </c>
      <c r="H73" s="92">
        <f t="shared" si="12"/>
        <v>0</v>
      </c>
      <c r="I73" s="93">
        <f t="shared" si="27"/>
        <v>0</v>
      </c>
    </row>
    <row r="74" spans="1:13" ht="57" hidden="1" customHeight="1" thickBot="1">
      <c r="A74" s="409" t="s">
        <v>42</v>
      </c>
      <c r="B74" s="94" t="s">
        <v>102</v>
      </c>
      <c r="C74" s="72">
        <v>10</v>
      </c>
      <c r="D74" s="73">
        <v>10</v>
      </c>
      <c r="E74" s="74">
        <f>D74*8</f>
        <v>80</v>
      </c>
      <c r="F74" s="75">
        <v>12</v>
      </c>
      <c r="G74" s="74">
        <f>F74*4</f>
        <v>48</v>
      </c>
      <c r="H74" s="76">
        <f t="shared" si="12"/>
        <v>11</v>
      </c>
      <c r="I74" s="77">
        <f>ROUND(H74,0)</f>
        <v>11</v>
      </c>
    </row>
    <row r="75" spans="1:13" hidden="1">
      <c r="A75" s="410"/>
      <c r="B75" s="97" t="s">
        <v>103</v>
      </c>
      <c r="C75" s="82">
        <v>13</v>
      </c>
      <c r="D75" s="83">
        <v>13</v>
      </c>
      <c r="E75" s="59">
        <f t="shared" ref="E75:E80" si="28">D75*8</f>
        <v>104</v>
      </c>
      <c r="F75" s="84">
        <v>21</v>
      </c>
      <c r="G75" s="59">
        <f t="shared" ref="G75:G80" si="29">F75*4</f>
        <v>84</v>
      </c>
      <c r="H75" s="85">
        <f t="shared" si="12"/>
        <v>16</v>
      </c>
      <c r="I75" s="86">
        <f t="shared" ref="I75:I80" si="30">ROUND(H75,0)</f>
        <v>16</v>
      </c>
    </row>
    <row r="76" spans="1:13" ht="33.75" customHeight="1">
      <c r="A76" s="411"/>
      <c r="B76" s="97" t="s">
        <v>98</v>
      </c>
      <c r="C76" s="82">
        <v>0</v>
      </c>
      <c r="D76" s="83">
        <v>0</v>
      </c>
      <c r="E76" s="59">
        <f t="shared" si="28"/>
        <v>0</v>
      </c>
      <c r="F76" s="84">
        <v>4</v>
      </c>
      <c r="G76" s="59">
        <f t="shared" si="29"/>
        <v>16</v>
      </c>
      <c r="H76" s="85">
        <f>ROUND((E76+G76)/12,0)</f>
        <v>1</v>
      </c>
      <c r="I76" s="86">
        <f t="shared" si="30"/>
        <v>1</v>
      </c>
      <c r="J76" s="117" t="s">
        <v>107</v>
      </c>
      <c r="K76" s="117"/>
      <c r="L76" s="117"/>
      <c r="M76" s="117"/>
    </row>
    <row r="77" spans="1:13" hidden="1">
      <c r="A77" s="411"/>
      <c r="B77" s="97" t="s">
        <v>99</v>
      </c>
      <c r="C77" s="82">
        <v>0</v>
      </c>
      <c r="D77" s="83">
        <v>0</v>
      </c>
      <c r="E77" s="59">
        <f t="shared" si="28"/>
        <v>0</v>
      </c>
      <c r="F77" s="84">
        <v>2</v>
      </c>
      <c r="G77" s="59">
        <f t="shared" si="29"/>
        <v>8</v>
      </c>
      <c r="H77" s="85">
        <f t="shared" si="12"/>
        <v>1</v>
      </c>
      <c r="I77" s="86">
        <f t="shared" si="30"/>
        <v>1</v>
      </c>
      <c r="J77" s="117" t="s">
        <v>107</v>
      </c>
      <c r="K77" s="117"/>
      <c r="L77" s="117"/>
      <c r="M77" s="117"/>
    </row>
    <row r="78" spans="1:13" hidden="1">
      <c r="A78" s="411"/>
      <c r="B78" s="97" t="s">
        <v>104</v>
      </c>
      <c r="C78" s="82"/>
      <c r="D78" s="83">
        <v>0</v>
      </c>
      <c r="E78" s="59">
        <f t="shared" si="28"/>
        <v>0</v>
      </c>
      <c r="F78" s="84">
        <v>0</v>
      </c>
      <c r="G78" s="59">
        <f t="shared" si="29"/>
        <v>0</v>
      </c>
      <c r="H78" s="85">
        <f t="shared" si="12"/>
        <v>0</v>
      </c>
      <c r="I78" s="86">
        <f t="shared" si="30"/>
        <v>0</v>
      </c>
    </row>
    <row r="79" spans="1:13" ht="15.75" hidden="1" customHeight="1">
      <c r="A79" s="411"/>
      <c r="B79" s="97" t="s">
        <v>100</v>
      </c>
      <c r="C79" s="82"/>
      <c r="D79" s="83">
        <v>0</v>
      </c>
      <c r="E79" s="59">
        <f t="shared" si="28"/>
        <v>0</v>
      </c>
      <c r="F79" s="84">
        <v>0</v>
      </c>
      <c r="G79" s="59">
        <f t="shared" si="29"/>
        <v>0</v>
      </c>
      <c r="H79" s="85">
        <f t="shared" si="12"/>
        <v>0</v>
      </c>
      <c r="I79" s="86">
        <f t="shared" si="30"/>
        <v>0</v>
      </c>
    </row>
    <row r="80" spans="1:13" ht="18" hidden="1" customHeight="1" thickBot="1">
      <c r="A80" s="412"/>
      <c r="B80" s="98" t="s">
        <v>105</v>
      </c>
      <c r="C80" s="88"/>
      <c r="D80" s="89">
        <v>0</v>
      </c>
      <c r="E80" s="90">
        <f t="shared" si="28"/>
        <v>0</v>
      </c>
      <c r="F80" s="91">
        <v>0</v>
      </c>
      <c r="G80" s="90">
        <f t="shared" si="29"/>
        <v>0</v>
      </c>
      <c r="H80" s="92">
        <f t="shared" si="12"/>
        <v>0</v>
      </c>
      <c r="I80" s="93">
        <f t="shared" si="30"/>
        <v>0</v>
      </c>
    </row>
    <row r="81" spans="1:13" ht="51" hidden="1" customHeight="1" thickBot="1">
      <c r="A81" s="409" t="s">
        <v>43</v>
      </c>
      <c r="B81" s="94" t="s">
        <v>102</v>
      </c>
      <c r="C81" s="72">
        <v>8</v>
      </c>
      <c r="D81" s="73">
        <v>6</v>
      </c>
      <c r="E81" s="74">
        <f>D81*8</f>
        <v>48</v>
      </c>
      <c r="F81" s="75">
        <v>9</v>
      </c>
      <c r="G81" s="74">
        <f>F81*4</f>
        <v>36</v>
      </c>
      <c r="H81" s="76">
        <f t="shared" si="12"/>
        <v>7</v>
      </c>
      <c r="I81" s="77">
        <f>ROUND(H81,0)</f>
        <v>7</v>
      </c>
    </row>
    <row r="82" spans="1:13" ht="16.5" hidden="1" customHeight="1">
      <c r="A82" s="410"/>
      <c r="B82" s="97" t="s">
        <v>103</v>
      </c>
      <c r="C82" s="82">
        <v>0</v>
      </c>
      <c r="D82" s="83">
        <v>0</v>
      </c>
      <c r="E82" s="59">
        <f t="shared" ref="E82:E87" si="31">D82*8</f>
        <v>0</v>
      </c>
      <c r="F82" s="84">
        <v>2</v>
      </c>
      <c r="G82" s="59">
        <f t="shared" ref="G82:G87" si="32">F82*4</f>
        <v>8</v>
      </c>
      <c r="H82" s="85">
        <f t="shared" si="12"/>
        <v>1</v>
      </c>
      <c r="I82" s="86">
        <f t="shared" ref="I82:I87" si="33">ROUND(H82,0)</f>
        <v>1</v>
      </c>
      <c r="J82" s="117" t="s">
        <v>107</v>
      </c>
      <c r="K82" s="117"/>
      <c r="L82" s="117"/>
    </row>
    <row r="83" spans="1:13" ht="33" customHeight="1">
      <c r="A83" s="411"/>
      <c r="B83" s="97" t="s">
        <v>98</v>
      </c>
      <c r="C83" s="82">
        <v>0</v>
      </c>
      <c r="D83" s="83">
        <v>0</v>
      </c>
      <c r="E83" s="59">
        <f t="shared" si="31"/>
        <v>0</v>
      </c>
      <c r="F83" s="84">
        <v>1</v>
      </c>
      <c r="G83" s="59">
        <f t="shared" si="32"/>
        <v>4</v>
      </c>
      <c r="H83" s="85">
        <f t="shared" si="12"/>
        <v>0</v>
      </c>
      <c r="I83" s="86">
        <f t="shared" si="33"/>
        <v>0</v>
      </c>
      <c r="J83" s="115" t="s">
        <v>106</v>
      </c>
      <c r="K83" s="116"/>
      <c r="L83" s="116"/>
    </row>
    <row r="84" spans="1:13" hidden="1">
      <c r="A84" s="411"/>
      <c r="B84" s="97" t="s">
        <v>99</v>
      </c>
      <c r="C84" s="82"/>
      <c r="D84" s="83">
        <v>0</v>
      </c>
      <c r="E84" s="59">
        <f t="shared" si="31"/>
        <v>0</v>
      </c>
      <c r="F84" s="84">
        <v>0</v>
      </c>
      <c r="G84" s="59">
        <f t="shared" si="32"/>
        <v>0</v>
      </c>
      <c r="H84" s="85">
        <f t="shared" si="12"/>
        <v>0</v>
      </c>
      <c r="I84" s="86">
        <f t="shared" si="33"/>
        <v>0</v>
      </c>
    </row>
    <row r="85" spans="1:13" hidden="1">
      <c r="A85" s="411"/>
      <c r="B85" s="97" t="s">
        <v>104</v>
      </c>
      <c r="C85" s="82"/>
      <c r="D85" s="83">
        <v>0</v>
      </c>
      <c r="E85" s="59">
        <f t="shared" si="31"/>
        <v>0</v>
      </c>
      <c r="F85" s="84">
        <v>0</v>
      </c>
      <c r="G85" s="59">
        <f t="shared" si="32"/>
        <v>0</v>
      </c>
      <c r="H85" s="85">
        <f t="shared" si="12"/>
        <v>0</v>
      </c>
      <c r="I85" s="86">
        <f t="shared" si="33"/>
        <v>0</v>
      </c>
    </row>
    <row r="86" spans="1:13" ht="15.75" hidden="1" customHeight="1">
      <c r="A86" s="411"/>
      <c r="B86" s="97" t="s">
        <v>100</v>
      </c>
      <c r="C86" s="82"/>
      <c r="D86" s="83">
        <v>0</v>
      </c>
      <c r="E86" s="59">
        <f t="shared" si="31"/>
        <v>0</v>
      </c>
      <c r="F86" s="84">
        <v>0</v>
      </c>
      <c r="G86" s="59">
        <f t="shared" si="32"/>
        <v>0</v>
      </c>
      <c r="H86" s="85">
        <f t="shared" si="12"/>
        <v>0</v>
      </c>
      <c r="I86" s="86">
        <f t="shared" si="33"/>
        <v>0</v>
      </c>
    </row>
    <row r="87" spans="1:13" ht="15.75" hidden="1" thickBot="1">
      <c r="A87" s="412"/>
      <c r="B87" s="98" t="s">
        <v>105</v>
      </c>
      <c r="C87" s="88"/>
      <c r="D87" s="89">
        <v>0</v>
      </c>
      <c r="E87" s="90">
        <f t="shared" si="31"/>
        <v>0</v>
      </c>
      <c r="F87" s="91">
        <v>0</v>
      </c>
      <c r="G87" s="90">
        <f t="shared" si="32"/>
        <v>0</v>
      </c>
      <c r="H87" s="92">
        <f t="shared" si="12"/>
        <v>0</v>
      </c>
      <c r="I87" s="93">
        <f t="shared" si="33"/>
        <v>0</v>
      </c>
    </row>
    <row r="88" spans="1:13" ht="57.75" hidden="1" customHeight="1" thickBot="1">
      <c r="A88" s="409" t="s">
        <v>44</v>
      </c>
      <c r="B88" s="94" t="s">
        <v>102</v>
      </c>
      <c r="C88" s="72">
        <v>3</v>
      </c>
      <c r="D88" s="73">
        <v>3</v>
      </c>
      <c r="E88" s="74">
        <f>D88*8</f>
        <v>24</v>
      </c>
      <c r="F88" s="75">
        <v>4</v>
      </c>
      <c r="G88" s="74">
        <f>F88*4</f>
        <v>16</v>
      </c>
      <c r="H88" s="76">
        <f t="shared" si="12"/>
        <v>3</v>
      </c>
      <c r="I88" s="77">
        <f>ROUND(H88,0)</f>
        <v>3</v>
      </c>
    </row>
    <row r="89" spans="1:13" ht="48" hidden="1" customHeight="1">
      <c r="A89" s="410"/>
      <c r="B89" s="97" t="s">
        <v>103</v>
      </c>
      <c r="C89" s="82">
        <v>0</v>
      </c>
      <c r="D89" s="83">
        <v>0</v>
      </c>
      <c r="E89" s="59">
        <f t="shared" ref="E89:E94" si="34">D89*8</f>
        <v>0</v>
      </c>
      <c r="F89" s="84">
        <v>2</v>
      </c>
      <c r="G89" s="59">
        <f t="shared" ref="G89:G94" si="35">F89*4</f>
        <v>8</v>
      </c>
      <c r="H89" s="85">
        <f t="shared" si="12"/>
        <v>1</v>
      </c>
      <c r="I89" s="86">
        <f t="shared" ref="I89:I94" si="36">ROUND(H89,0)</f>
        <v>1</v>
      </c>
      <c r="J89" s="117" t="s">
        <v>107</v>
      </c>
      <c r="K89" s="117"/>
      <c r="L89" s="117"/>
      <c r="M89" s="117"/>
    </row>
    <row r="90" spans="1:13">
      <c r="A90" s="411"/>
      <c r="B90" s="97" t="s">
        <v>98</v>
      </c>
      <c r="C90" s="82">
        <v>1</v>
      </c>
      <c r="D90" s="83">
        <v>1</v>
      </c>
      <c r="E90" s="59">
        <f t="shared" si="34"/>
        <v>8</v>
      </c>
      <c r="F90" s="118">
        <v>0</v>
      </c>
      <c r="G90" s="59">
        <f t="shared" si="35"/>
        <v>0</v>
      </c>
      <c r="H90" s="85">
        <f t="shared" si="12"/>
        <v>1</v>
      </c>
      <c r="I90" s="86">
        <f t="shared" si="36"/>
        <v>1</v>
      </c>
      <c r="J90" s="117" t="s">
        <v>108</v>
      </c>
      <c r="K90" s="117"/>
      <c r="L90" s="117"/>
      <c r="M90" s="117"/>
    </row>
    <row r="91" spans="1:13" hidden="1">
      <c r="A91" s="411"/>
      <c r="B91" s="97" t="s">
        <v>99</v>
      </c>
      <c r="C91" s="82"/>
      <c r="D91" s="83">
        <v>0</v>
      </c>
      <c r="E91" s="59">
        <f t="shared" si="34"/>
        <v>0</v>
      </c>
      <c r="F91" s="84">
        <v>0</v>
      </c>
      <c r="G91" s="59">
        <f t="shared" si="35"/>
        <v>0</v>
      </c>
      <c r="H91" s="85">
        <f t="shared" si="12"/>
        <v>0</v>
      </c>
      <c r="I91" s="86">
        <f t="shared" si="36"/>
        <v>0</v>
      </c>
    </row>
    <row r="92" spans="1:13" hidden="1">
      <c r="A92" s="411"/>
      <c r="B92" s="97" t="s">
        <v>104</v>
      </c>
      <c r="C92" s="82"/>
      <c r="D92" s="83">
        <v>0</v>
      </c>
      <c r="E92" s="59">
        <f t="shared" si="34"/>
        <v>0</v>
      </c>
      <c r="F92" s="84">
        <v>0</v>
      </c>
      <c r="G92" s="59">
        <f t="shared" si="35"/>
        <v>0</v>
      </c>
      <c r="H92" s="85">
        <f t="shared" si="12"/>
        <v>0</v>
      </c>
      <c r="I92" s="86">
        <f t="shared" si="36"/>
        <v>0</v>
      </c>
    </row>
    <row r="93" spans="1:13" ht="15.75" hidden="1" customHeight="1">
      <c r="A93" s="411"/>
      <c r="B93" s="97" t="s">
        <v>100</v>
      </c>
      <c r="C93" s="82"/>
      <c r="D93" s="83">
        <v>0</v>
      </c>
      <c r="E93" s="59">
        <f t="shared" si="34"/>
        <v>0</v>
      </c>
      <c r="F93" s="84">
        <v>0</v>
      </c>
      <c r="G93" s="59">
        <f t="shared" si="35"/>
        <v>0</v>
      </c>
      <c r="H93" s="85">
        <f t="shared" si="12"/>
        <v>0</v>
      </c>
      <c r="I93" s="86">
        <f t="shared" si="36"/>
        <v>0</v>
      </c>
    </row>
    <row r="94" spans="1:13" ht="15.75" hidden="1" thickBot="1">
      <c r="A94" s="411"/>
      <c r="B94" s="98" t="s">
        <v>105</v>
      </c>
      <c r="C94" s="88"/>
      <c r="D94" s="89">
        <v>0</v>
      </c>
      <c r="E94" s="90">
        <f t="shared" si="34"/>
        <v>0</v>
      </c>
      <c r="F94" s="91">
        <v>0</v>
      </c>
      <c r="G94" s="90">
        <f t="shared" si="35"/>
        <v>0</v>
      </c>
      <c r="H94" s="92">
        <f t="shared" si="12"/>
        <v>0</v>
      </c>
      <c r="I94" s="93">
        <f t="shared" si="36"/>
        <v>0</v>
      </c>
    </row>
    <row r="95" spans="1:13" ht="21" hidden="1" customHeight="1" thickBot="1">
      <c r="A95" s="410" t="s">
        <v>45</v>
      </c>
      <c r="B95" s="94" t="s">
        <v>102</v>
      </c>
      <c r="C95" s="72">
        <v>4</v>
      </c>
      <c r="D95" s="73">
        <v>3</v>
      </c>
      <c r="E95" s="74">
        <f>D95*8</f>
        <v>24</v>
      </c>
      <c r="F95" s="75">
        <v>2</v>
      </c>
      <c r="G95" s="74">
        <f>F95*4</f>
        <v>8</v>
      </c>
      <c r="H95" s="76">
        <f t="shared" si="12"/>
        <v>3</v>
      </c>
      <c r="I95" s="77">
        <f>ROUND(H95,0)</f>
        <v>3</v>
      </c>
    </row>
    <row r="96" spans="1:13" hidden="1">
      <c r="A96" s="410"/>
      <c r="B96" s="97" t="s">
        <v>103</v>
      </c>
      <c r="C96" s="82"/>
      <c r="D96" s="83">
        <v>0</v>
      </c>
      <c r="E96" s="59">
        <f t="shared" ref="E96:E101" si="37">D96*8</f>
        <v>0</v>
      </c>
      <c r="F96" s="84">
        <v>0</v>
      </c>
      <c r="G96" s="59">
        <f t="shared" ref="G96:G101" si="38">F96*4</f>
        <v>0</v>
      </c>
      <c r="H96" s="85">
        <f t="shared" si="12"/>
        <v>0</v>
      </c>
      <c r="I96" s="86">
        <f t="shared" ref="I96:I101" si="39">ROUND(H96,0)</f>
        <v>0</v>
      </c>
    </row>
    <row r="97" spans="1:14">
      <c r="A97" s="411"/>
      <c r="B97" s="97" t="s">
        <v>98</v>
      </c>
      <c r="C97" s="82"/>
      <c r="D97" s="83">
        <v>0</v>
      </c>
      <c r="E97" s="59">
        <f t="shared" si="37"/>
        <v>0</v>
      </c>
      <c r="F97" s="84">
        <v>0</v>
      </c>
      <c r="G97" s="59">
        <f t="shared" si="38"/>
        <v>0</v>
      </c>
      <c r="H97" s="85">
        <f t="shared" si="12"/>
        <v>0</v>
      </c>
      <c r="I97" s="86">
        <f t="shared" si="39"/>
        <v>0</v>
      </c>
    </row>
    <row r="98" spans="1:14" hidden="1">
      <c r="A98" s="411"/>
      <c r="B98" s="97" t="s">
        <v>99</v>
      </c>
      <c r="C98" s="82">
        <v>1</v>
      </c>
      <c r="D98" s="83">
        <v>1</v>
      </c>
      <c r="E98" s="59">
        <f t="shared" si="37"/>
        <v>8</v>
      </c>
      <c r="F98" s="118">
        <v>0</v>
      </c>
      <c r="G98" s="59">
        <f t="shared" si="38"/>
        <v>0</v>
      </c>
      <c r="H98" s="85">
        <f t="shared" si="12"/>
        <v>1</v>
      </c>
      <c r="I98" s="86">
        <f t="shared" si="39"/>
        <v>1</v>
      </c>
      <c r="J98" s="117" t="s">
        <v>109</v>
      </c>
      <c r="K98" s="117"/>
      <c r="L98" s="117"/>
      <c r="M98" s="117"/>
      <c r="N98" s="117"/>
    </row>
    <row r="99" spans="1:14" ht="15.75" hidden="1" customHeight="1">
      <c r="A99" s="411"/>
      <c r="B99" s="97" t="s">
        <v>104</v>
      </c>
      <c r="C99" s="82">
        <v>1</v>
      </c>
      <c r="D99" s="83">
        <v>1</v>
      </c>
      <c r="E99" s="59">
        <f t="shared" si="37"/>
        <v>8</v>
      </c>
      <c r="F99" s="118">
        <v>0</v>
      </c>
      <c r="G99" s="59">
        <f t="shared" si="38"/>
        <v>0</v>
      </c>
      <c r="H99" s="85">
        <f t="shared" ref="H99:H164" si="40">ROUND((E99+G99)/12,0)</f>
        <v>1</v>
      </c>
      <c r="I99" s="86">
        <f t="shared" si="39"/>
        <v>1</v>
      </c>
      <c r="J99" s="117" t="s">
        <v>110</v>
      </c>
      <c r="K99" s="117"/>
      <c r="L99" s="117"/>
      <c r="M99" s="117"/>
    </row>
    <row r="100" spans="1:14" ht="15.75" hidden="1" customHeight="1">
      <c r="A100" s="411"/>
      <c r="B100" s="97" t="s">
        <v>100</v>
      </c>
      <c r="C100" s="82"/>
      <c r="D100" s="83">
        <v>0</v>
      </c>
      <c r="E100" s="59">
        <f t="shared" si="37"/>
        <v>0</v>
      </c>
      <c r="F100" s="84">
        <v>0</v>
      </c>
      <c r="G100" s="59">
        <f t="shared" si="38"/>
        <v>0</v>
      </c>
      <c r="H100" s="85">
        <f t="shared" si="40"/>
        <v>0</v>
      </c>
      <c r="I100" s="86">
        <f t="shared" si="39"/>
        <v>0</v>
      </c>
    </row>
    <row r="101" spans="1:14" ht="15.75" hidden="1" thickBot="1">
      <c r="A101" s="412"/>
      <c r="B101" s="98" t="s">
        <v>105</v>
      </c>
      <c r="C101" s="88"/>
      <c r="D101" s="89">
        <v>0</v>
      </c>
      <c r="E101" s="90">
        <f t="shared" si="37"/>
        <v>0</v>
      </c>
      <c r="F101" s="91">
        <v>0</v>
      </c>
      <c r="G101" s="90">
        <f t="shared" si="38"/>
        <v>0</v>
      </c>
      <c r="H101" s="92">
        <f t="shared" si="40"/>
        <v>0</v>
      </c>
      <c r="I101" s="93">
        <f t="shared" si="39"/>
        <v>0</v>
      </c>
    </row>
    <row r="102" spans="1:14" ht="57.75" hidden="1" customHeight="1" thickBot="1">
      <c r="A102" s="409" t="s">
        <v>46</v>
      </c>
      <c r="B102" s="94" t="s">
        <v>102</v>
      </c>
      <c r="C102" s="72">
        <v>2</v>
      </c>
      <c r="D102" s="73">
        <v>2</v>
      </c>
      <c r="E102" s="74">
        <f>D102*8</f>
        <v>16</v>
      </c>
      <c r="F102" s="119">
        <v>0</v>
      </c>
      <c r="G102" s="74">
        <f>F102*4</f>
        <v>0</v>
      </c>
      <c r="H102" s="76">
        <f t="shared" si="40"/>
        <v>1</v>
      </c>
      <c r="I102" s="77">
        <f>ROUND(H102,0)</f>
        <v>1</v>
      </c>
      <c r="J102" s="117" t="s">
        <v>111</v>
      </c>
      <c r="K102" s="117"/>
      <c r="L102" s="117"/>
      <c r="M102" s="117"/>
    </row>
    <row r="103" spans="1:14" hidden="1">
      <c r="A103" s="410"/>
      <c r="B103" s="97" t="s">
        <v>103</v>
      </c>
      <c r="C103" s="82"/>
      <c r="D103" s="83">
        <v>0</v>
      </c>
      <c r="E103" s="59">
        <f t="shared" ref="E103:E108" si="41">D103*8</f>
        <v>0</v>
      </c>
      <c r="F103" s="84">
        <v>0</v>
      </c>
      <c r="G103" s="59">
        <f t="shared" ref="G103:G108" si="42">F103*4</f>
        <v>0</v>
      </c>
      <c r="H103" s="85">
        <f t="shared" si="40"/>
        <v>0</v>
      </c>
      <c r="I103" s="86">
        <f t="shared" ref="I103:I108" si="43">ROUND(H103,0)</f>
        <v>0</v>
      </c>
    </row>
    <row r="104" spans="1:14">
      <c r="A104" s="411"/>
      <c r="B104" s="97" t="s">
        <v>98</v>
      </c>
      <c r="C104" s="82"/>
      <c r="D104" s="83">
        <v>0</v>
      </c>
      <c r="E104" s="59">
        <f t="shared" si="41"/>
        <v>0</v>
      </c>
      <c r="F104" s="84">
        <v>0</v>
      </c>
      <c r="G104" s="59">
        <f t="shared" si="42"/>
        <v>0</v>
      </c>
      <c r="H104" s="85">
        <f t="shared" si="40"/>
        <v>0</v>
      </c>
      <c r="I104" s="86">
        <f t="shared" si="43"/>
        <v>0</v>
      </c>
    </row>
    <row r="105" spans="1:14" ht="30" hidden="1" customHeight="1">
      <c r="A105" s="411"/>
      <c r="B105" s="97" t="s">
        <v>99</v>
      </c>
      <c r="C105" s="82"/>
      <c r="D105" s="83">
        <v>0</v>
      </c>
      <c r="E105" s="59">
        <f t="shared" si="41"/>
        <v>0</v>
      </c>
      <c r="F105" s="84">
        <v>0</v>
      </c>
      <c r="G105" s="59">
        <f t="shared" si="42"/>
        <v>0</v>
      </c>
      <c r="H105" s="85">
        <f t="shared" si="40"/>
        <v>0</v>
      </c>
      <c r="I105" s="86">
        <f t="shared" si="43"/>
        <v>0</v>
      </c>
    </row>
    <row r="106" spans="1:14" hidden="1">
      <c r="A106" s="411"/>
      <c r="B106" s="97" t="s">
        <v>104</v>
      </c>
      <c r="C106" s="82"/>
      <c r="D106" s="83">
        <v>0</v>
      </c>
      <c r="E106" s="59">
        <f t="shared" si="41"/>
        <v>0</v>
      </c>
      <c r="F106" s="84">
        <v>0</v>
      </c>
      <c r="G106" s="59">
        <f t="shared" si="42"/>
        <v>0</v>
      </c>
      <c r="H106" s="85">
        <f t="shared" si="40"/>
        <v>0</v>
      </c>
      <c r="I106" s="86">
        <f t="shared" si="43"/>
        <v>0</v>
      </c>
    </row>
    <row r="107" spans="1:14" ht="15.75" hidden="1" customHeight="1">
      <c r="A107" s="411"/>
      <c r="B107" s="97" t="s">
        <v>100</v>
      </c>
      <c r="C107" s="82"/>
      <c r="D107" s="83">
        <v>0</v>
      </c>
      <c r="E107" s="59">
        <f t="shared" si="41"/>
        <v>0</v>
      </c>
      <c r="F107" s="84">
        <v>0</v>
      </c>
      <c r="G107" s="59">
        <f t="shared" si="42"/>
        <v>0</v>
      </c>
      <c r="H107" s="85">
        <f t="shared" si="40"/>
        <v>0</v>
      </c>
      <c r="I107" s="86">
        <f t="shared" si="43"/>
        <v>0</v>
      </c>
    </row>
    <row r="108" spans="1:14" ht="15.75" hidden="1" thickBot="1">
      <c r="A108" s="412"/>
      <c r="B108" s="98" t="s">
        <v>105</v>
      </c>
      <c r="C108" s="88"/>
      <c r="D108" s="89">
        <v>0</v>
      </c>
      <c r="E108" s="90">
        <f t="shared" si="41"/>
        <v>0</v>
      </c>
      <c r="F108" s="91">
        <v>0</v>
      </c>
      <c r="G108" s="90">
        <f t="shared" si="42"/>
        <v>0</v>
      </c>
      <c r="H108" s="92">
        <f t="shared" si="40"/>
        <v>0</v>
      </c>
      <c r="I108" s="93">
        <f t="shared" si="43"/>
        <v>0</v>
      </c>
    </row>
    <row r="109" spans="1:14" ht="32.25" hidden="1" customHeight="1" thickBot="1">
      <c r="A109" s="409" t="s">
        <v>47</v>
      </c>
      <c r="B109" s="94" t="s">
        <v>102</v>
      </c>
      <c r="C109" s="72">
        <v>50</v>
      </c>
      <c r="D109" s="73">
        <v>50</v>
      </c>
      <c r="E109" s="74">
        <f>D109*8</f>
        <v>400</v>
      </c>
      <c r="F109" s="75">
        <v>50</v>
      </c>
      <c r="G109" s="74">
        <f>F109*4</f>
        <v>200</v>
      </c>
      <c r="H109" s="76">
        <f t="shared" si="40"/>
        <v>50</v>
      </c>
      <c r="I109" s="77">
        <f>ROUND(H109,0)</f>
        <v>50</v>
      </c>
    </row>
    <row r="110" spans="1:14" hidden="1">
      <c r="A110" s="410"/>
      <c r="B110" s="97" t="s">
        <v>103</v>
      </c>
      <c r="C110" s="82">
        <v>50</v>
      </c>
      <c r="D110" s="83">
        <v>50</v>
      </c>
      <c r="E110" s="59">
        <f t="shared" ref="E110:E115" si="44">D110*8</f>
        <v>400</v>
      </c>
      <c r="F110" s="84">
        <v>50</v>
      </c>
      <c r="G110" s="59">
        <f t="shared" ref="G110:G117" si="45">F110*4</f>
        <v>200</v>
      </c>
      <c r="H110" s="85">
        <f t="shared" si="40"/>
        <v>50</v>
      </c>
      <c r="I110" s="86">
        <f t="shared" ref="I110:I115" si="46">ROUND(H110,0)</f>
        <v>50</v>
      </c>
    </row>
    <row r="111" spans="1:14">
      <c r="A111" s="411"/>
      <c r="B111" s="97" t="s">
        <v>98</v>
      </c>
      <c r="C111" s="82">
        <v>75</v>
      </c>
      <c r="D111" s="83">
        <v>83</v>
      </c>
      <c r="E111" s="59">
        <f t="shared" si="44"/>
        <v>664</v>
      </c>
      <c r="F111" s="84">
        <v>97</v>
      </c>
      <c r="G111" s="59">
        <f t="shared" si="45"/>
        <v>388</v>
      </c>
      <c r="H111" s="85">
        <f t="shared" si="40"/>
        <v>88</v>
      </c>
      <c r="I111" s="86">
        <f t="shared" si="46"/>
        <v>88</v>
      </c>
    </row>
    <row r="112" spans="1:14" hidden="1">
      <c r="A112" s="411"/>
      <c r="B112" s="97" t="s">
        <v>99</v>
      </c>
      <c r="C112" s="82">
        <v>25</v>
      </c>
      <c r="D112" s="83">
        <v>22</v>
      </c>
      <c r="E112" s="59">
        <f t="shared" si="44"/>
        <v>176</v>
      </c>
      <c r="F112" s="84">
        <v>17</v>
      </c>
      <c r="G112" s="59">
        <f t="shared" si="45"/>
        <v>68</v>
      </c>
      <c r="H112" s="85">
        <f t="shared" si="40"/>
        <v>20</v>
      </c>
      <c r="I112" s="86">
        <f t="shared" si="46"/>
        <v>20</v>
      </c>
    </row>
    <row r="113" spans="1:13" hidden="1">
      <c r="A113" s="411"/>
      <c r="B113" s="97" t="s">
        <v>104</v>
      </c>
      <c r="C113" s="82">
        <v>50</v>
      </c>
      <c r="D113" s="83">
        <v>40</v>
      </c>
      <c r="E113" s="59">
        <f t="shared" si="44"/>
        <v>320</v>
      </c>
      <c r="F113" s="84">
        <v>40</v>
      </c>
      <c r="G113" s="59">
        <f t="shared" si="45"/>
        <v>160</v>
      </c>
      <c r="H113" s="85">
        <f t="shared" si="40"/>
        <v>40</v>
      </c>
      <c r="I113" s="86">
        <f t="shared" si="46"/>
        <v>40</v>
      </c>
    </row>
    <row r="114" spans="1:13" ht="15.75" hidden="1" customHeight="1">
      <c r="A114" s="411"/>
      <c r="B114" s="97" t="s">
        <v>100</v>
      </c>
      <c r="C114" s="82"/>
      <c r="D114" s="83">
        <v>0</v>
      </c>
      <c r="E114" s="59">
        <f t="shared" si="44"/>
        <v>0</v>
      </c>
      <c r="F114" s="84">
        <v>0</v>
      </c>
      <c r="G114" s="59">
        <f t="shared" si="45"/>
        <v>0</v>
      </c>
      <c r="H114" s="85">
        <f t="shared" si="40"/>
        <v>0</v>
      </c>
      <c r="I114" s="86">
        <f t="shared" si="46"/>
        <v>0</v>
      </c>
    </row>
    <row r="115" spans="1:13" ht="15.75" hidden="1" thickBot="1">
      <c r="A115" s="412"/>
      <c r="B115" s="98" t="s">
        <v>105</v>
      </c>
      <c r="C115" s="88"/>
      <c r="D115" s="89">
        <v>0</v>
      </c>
      <c r="E115" s="90">
        <f t="shared" si="44"/>
        <v>0</v>
      </c>
      <c r="F115" s="91">
        <v>0</v>
      </c>
      <c r="G115" s="90">
        <f t="shared" si="45"/>
        <v>0</v>
      </c>
      <c r="H115" s="92">
        <f t="shared" si="40"/>
        <v>0</v>
      </c>
      <c r="I115" s="93">
        <f t="shared" si="46"/>
        <v>0</v>
      </c>
      <c r="J115" s="120" t="s">
        <v>112</v>
      </c>
    </row>
    <row r="116" spans="1:13" ht="19.5" hidden="1" customHeight="1" thickBot="1">
      <c r="A116" s="409" t="s">
        <v>48</v>
      </c>
      <c r="B116" s="94" t="s">
        <v>102</v>
      </c>
      <c r="C116" s="72">
        <v>553</v>
      </c>
      <c r="D116" s="73">
        <v>553</v>
      </c>
      <c r="E116" s="74">
        <f t="shared" ref="E116:E117" si="47">D116*5</f>
        <v>2765</v>
      </c>
      <c r="F116" s="75">
        <v>553</v>
      </c>
      <c r="G116" s="74">
        <f t="shared" si="45"/>
        <v>2212</v>
      </c>
      <c r="H116" s="121">
        <f>ROUND((E116+G116)/9,0)</f>
        <v>553</v>
      </c>
      <c r="I116" s="122">
        <f>ROUND(H116,0)</f>
        <v>553</v>
      </c>
      <c r="J116" s="59">
        <f>F40+F47+F54-F60-F67-F88-F95-F102</f>
        <v>539</v>
      </c>
    </row>
    <row r="117" spans="1:13" hidden="1">
      <c r="A117" s="410"/>
      <c r="B117" s="97" t="s">
        <v>103</v>
      </c>
      <c r="C117" s="82">
        <v>373</v>
      </c>
      <c r="D117" s="83">
        <v>373</v>
      </c>
      <c r="E117" s="59">
        <f t="shared" si="47"/>
        <v>1865</v>
      </c>
      <c r="F117" s="84">
        <v>378</v>
      </c>
      <c r="G117" s="59">
        <f t="shared" si="45"/>
        <v>1512</v>
      </c>
      <c r="H117" s="123">
        <f t="shared" ref="H117" si="48">ROUND((E117+G117)/9,0)</f>
        <v>375</v>
      </c>
      <c r="I117" s="124">
        <f t="shared" ref="I117:I122" si="49">ROUND(H117,0)</f>
        <v>375</v>
      </c>
      <c r="J117" s="59">
        <f>F41+F48+F55+F61+F68-F89-F96-F103-F68-F61</f>
        <v>381</v>
      </c>
    </row>
    <row r="118" spans="1:13">
      <c r="A118" s="411"/>
      <c r="B118" s="97" t="s">
        <v>98</v>
      </c>
      <c r="C118" s="82">
        <v>197</v>
      </c>
      <c r="D118" s="83">
        <v>197</v>
      </c>
      <c r="E118" s="59">
        <f>D118*5</f>
        <v>985</v>
      </c>
      <c r="F118" s="84">
        <v>218</v>
      </c>
      <c r="G118" s="59">
        <f>F118*4</f>
        <v>872</v>
      </c>
      <c r="H118" s="123">
        <f>ROUND((E118+G118)/9,0)</f>
        <v>206</v>
      </c>
      <c r="I118" s="124">
        <f t="shared" si="49"/>
        <v>206</v>
      </c>
      <c r="J118" s="59">
        <f>F42+F49+F56-F62-F69-F90-F97-F104</f>
        <v>218</v>
      </c>
    </row>
    <row r="119" spans="1:13" hidden="1">
      <c r="A119" s="411"/>
      <c r="B119" s="97" t="s">
        <v>99</v>
      </c>
      <c r="C119" s="82">
        <v>66</v>
      </c>
      <c r="D119" s="83">
        <v>68</v>
      </c>
      <c r="E119" s="59">
        <f t="shared" ref="E119:E122" si="50">D119*5</f>
        <v>340</v>
      </c>
      <c r="F119" s="84">
        <v>63</v>
      </c>
      <c r="G119" s="59">
        <f t="shared" ref="G119:G122" si="51">F119*4</f>
        <v>252</v>
      </c>
      <c r="H119" s="123">
        <f t="shared" ref="H119:H122" si="52">ROUND((E119+G119)/9,0)</f>
        <v>66</v>
      </c>
      <c r="I119" s="124">
        <f t="shared" si="49"/>
        <v>66</v>
      </c>
      <c r="J119" s="59">
        <f>F43+F50+F57-F91-F98-F105-F70-F63</f>
        <v>60</v>
      </c>
    </row>
    <row r="120" spans="1:13" hidden="1">
      <c r="A120" s="411"/>
      <c r="B120" s="97" t="s">
        <v>104</v>
      </c>
      <c r="C120" s="82">
        <v>154</v>
      </c>
      <c r="D120" s="83">
        <v>154</v>
      </c>
      <c r="E120" s="59">
        <f t="shared" si="50"/>
        <v>770</v>
      </c>
      <c r="F120" s="84">
        <v>110</v>
      </c>
      <c r="G120" s="59">
        <f t="shared" si="51"/>
        <v>440</v>
      </c>
      <c r="H120" s="123">
        <f t="shared" si="52"/>
        <v>134</v>
      </c>
      <c r="I120" s="124">
        <f t="shared" si="49"/>
        <v>134</v>
      </c>
      <c r="J120" s="59">
        <f>F44+F51+F58-F64-F71-F78-F85-F92-F99-F106</f>
        <v>96</v>
      </c>
    </row>
    <row r="121" spans="1:13" ht="15.75" hidden="1" customHeight="1">
      <c r="A121" s="411"/>
      <c r="B121" s="97" t="s">
        <v>100</v>
      </c>
      <c r="C121" s="82">
        <v>48</v>
      </c>
      <c r="D121" s="83">
        <v>48</v>
      </c>
      <c r="E121" s="59">
        <f t="shared" si="50"/>
        <v>240</v>
      </c>
      <c r="F121" s="84">
        <v>49</v>
      </c>
      <c r="G121" s="59">
        <f t="shared" si="51"/>
        <v>196</v>
      </c>
      <c r="H121" s="123">
        <f t="shared" si="52"/>
        <v>48</v>
      </c>
      <c r="I121" s="124">
        <f t="shared" si="49"/>
        <v>48</v>
      </c>
      <c r="J121" s="59">
        <f>F45+F52+F59-F65-F72-F93-F100-F107</f>
        <v>45</v>
      </c>
    </row>
    <row r="122" spans="1:13" ht="28.5" hidden="1" customHeight="1" thickBot="1">
      <c r="A122" s="412"/>
      <c r="B122" s="98" t="s">
        <v>105</v>
      </c>
      <c r="C122" s="88">
        <v>12</v>
      </c>
      <c r="D122" s="89">
        <v>12</v>
      </c>
      <c r="E122" s="90">
        <f t="shared" si="50"/>
        <v>60</v>
      </c>
      <c r="F122" s="91">
        <v>10</v>
      </c>
      <c r="G122" s="90">
        <f t="shared" si="51"/>
        <v>40</v>
      </c>
      <c r="H122" s="125">
        <f t="shared" si="52"/>
        <v>11</v>
      </c>
      <c r="I122" s="126">
        <f t="shared" si="49"/>
        <v>11</v>
      </c>
      <c r="J122" s="59">
        <f>F46+F53+F66-4-F66</f>
        <v>10</v>
      </c>
    </row>
    <row r="123" spans="1:13" hidden="1">
      <c r="A123" s="127"/>
      <c r="B123" s="128"/>
      <c r="C123" s="129"/>
      <c r="D123" s="130"/>
      <c r="E123" s="131"/>
      <c r="F123" s="132"/>
      <c r="G123" s="131"/>
      <c r="H123" s="133"/>
      <c r="I123" s="134"/>
      <c r="J123" s="120" t="s">
        <v>112</v>
      </c>
      <c r="K123" t="s">
        <v>113</v>
      </c>
    </row>
    <row r="124" spans="1:13" ht="15" hidden="1" customHeight="1" thickBot="1">
      <c r="A124" s="409" t="s">
        <v>114</v>
      </c>
      <c r="B124" s="94" t="s">
        <v>102</v>
      </c>
      <c r="C124" s="72">
        <v>88542</v>
      </c>
      <c r="D124" s="73"/>
      <c r="E124" s="74"/>
      <c r="F124" s="75"/>
      <c r="G124" s="74"/>
      <c r="H124" s="121">
        <f>ROUND((6.3*18*34*F145)/(F145/15),0)</f>
        <v>57834</v>
      </c>
      <c r="I124" s="122">
        <f>ROUND(H124,0)</f>
        <v>57834</v>
      </c>
      <c r="J124" s="135">
        <f>ROUND((6.3*18*34*F145)/K124,0)</f>
        <v>57834</v>
      </c>
      <c r="K124" s="136">
        <v>24</v>
      </c>
      <c r="M124" s="137"/>
    </row>
    <row r="125" spans="1:13" hidden="1">
      <c r="A125" s="410"/>
      <c r="B125" s="97" t="s">
        <v>103</v>
      </c>
      <c r="C125" s="82">
        <v>53352</v>
      </c>
      <c r="D125" s="83"/>
      <c r="E125" s="59"/>
      <c r="F125" s="84"/>
      <c r="G125" s="59"/>
      <c r="H125" s="123">
        <f>ROUND((3.8*18*34*H146)/(H146/15),0)</f>
        <v>34884</v>
      </c>
      <c r="I125" s="124">
        <f t="shared" ref="I125:I166" si="53">ROUND(H125,0)</f>
        <v>34884</v>
      </c>
      <c r="J125" s="138">
        <f>ROUND((3.8*18*34*F146)/K125,0)</f>
        <v>31119</v>
      </c>
      <c r="K125" s="139">
        <v>21</v>
      </c>
    </row>
    <row r="126" spans="1:13">
      <c r="A126" s="411"/>
      <c r="B126" s="97" t="s">
        <v>98</v>
      </c>
      <c r="C126" s="82">
        <v>88452</v>
      </c>
      <c r="D126" s="83"/>
      <c r="E126" s="59"/>
      <c r="F126" s="84"/>
      <c r="G126" s="59"/>
      <c r="H126" s="123">
        <f>ROUND((3*18*34*H147)/(H147/15),0)</f>
        <v>27540</v>
      </c>
      <c r="I126" s="124">
        <f t="shared" si="53"/>
        <v>27540</v>
      </c>
      <c r="J126" s="138">
        <f>ROUND((3*18*34*F147)/K126,0)</f>
        <v>24235</v>
      </c>
      <c r="K126" s="139">
        <v>35</v>
      </c>
    </row>
    <row r="127" spans="1:13" hidden="1">
      <c r="A127" s="411"/>
      <c r="B127" s="97" t="s">
        <v>99</v>
      </c>
      <c r="C127" s="82">
        <v>31590</v>
      </c>
      <c r="D127" s="83"/>
      <c r="E127" s="59"/>
      <c r="F127" s="84"/>
      <c r="G127" s="59"/>
      <c r="H127" s="123">
        <f>ROUND((2.25*18*34*H148)/(H148/15),0)</f>
        <v>20655</v>
      </c>
      <c r="I127" s="124">
        <f t="shared" si="53"/>
        <v>20655</v>
      </c>
      <c r="J127" s="140">
        <f>ROUND((2.25*18*34*F148)/K127,0)</f>
        <v>18360</v>
      </c>
      <c r="K127" s="139">
        <v>12</v>
      </c>
    </row>
    <row r="128" spans="1:13" hidden="1">
      <c r="A128" s="411"/>
      <c r="B128" s="97" t="s">
        <v>104</v>
      </c>
      <c r="C128" s="82">
        <v>46332</v>
      </c>
      <c r="D128" s="83"/>
      <c r="E128" s="59"/>
      <c r="F128" s="84"/>
      <c r="G128" s="59"/>
      <c r="H128" s="123">
        <f>ROUND((3.3*18*34*H149)/(H149/15),0)</f>
        <v>30294</v>
      </c>
      <c r="I128" s="124">
        <f t="shared" si="53"/>
        <v>30294</v>
      </c>
      <c r="J128" s="138">
        <f>ROUND((2.3*18*34*F149)/K128,0)</f>
        <v>20602</v>
      </c>
      <c r="K128" s="141">
        <v>11</v>
      </c>
    </row>
    <row r="129" spans="1:11" ht="15.75" hidden="1" customHeight="1">
      <c r="A129" s="411"/>
      <c r="B129" s="97" t="s">
        <v>100</v>
      </c>
      <c r="C129" s="82">
        <v>10530</v>
      </c>
      <c r="D129" s="83"/>
      <c r="E129" s="59"/>
      <c r="F129" s="84"/>
      <c r="G129" s="59"/>
      <c r="H129" s="123">
        <f>ROUND((0.75*18*34*H150)/(H150/15),0)</f>
        <v>6885</v>
      </c>
      <c r="I129" s="124">
        <f t="shared" si="53"/>
        <v>6885</v>
      </c>
      <c r="J129" s="138">
        <f>ROUND((0.75*18*34*F150)/K129,0)</f>
        <v>9180</v>
      </c>
      <c r="K129" s="139">
        <v>1</v>
      </c>
    </row>
    <row r="130" spans="1:11" ht="15.75" hidden="1" thickBot="1">
      <c r="A130" s="412"/>
      <c r="B130" s="98" t="s">
        <v>105</v>
      </c>
      <c r="C130" s="88"/>
      <c r="D130" s="89">
        <v>0</v>
      </c>
      <c r="E130" s="90"/>
      <c r="F130" s="91"/>
      <c r="G130" s="90"/>
      <c r="H130" s="92">
        <f t="shared" si="40"/>
        <v>0</v>
      </c>
      <c r="I130" s="126">
        <f t="shared" si="53"/>
        <v>0</v>
      </c>
      <c r="J130" s="142"/>
      <c r="K130" s="143"/>
    </row>
    <row r="131" spans="1:11" ht="23.25" hidden="1" customHeight="1" thickBot="1">
      <c r="A131" s="409" t="s">
        <v>115</v>
      </c>
      <c r="B131" s="94" t="s">
        <v>102</v>
      </c>
      <c r="C131" s="72"/>
      <c r="D131" s="73"/>
      <c r="E131" s="74">
        <f>D131*8</f>
        <v>0</v>
      </c>
      <c r="F131" s="75">
        <v>221</v>
      </c>
      <c r="G131" s="74">
        <f>F131*4</f>
        <v>884</v>
      </c>
      <c r="H131" s="76">
        <f t="shared" si="40"/>
        <v>74</v>
      </c>
      <c r="I131" s="77">
        <f>ROUND(H131,0)</f>
        <v>74</v>
      </c>
    </row>
    <row r="132" spans="1:11" hidden="1">
      <c r="A132" s="410"/>
      <c r="B132" s="97" t="s">
        <v>103</v>
      </c>
      <c r="C132" s="82"/>
      <c r="D132" s="83"/>
      <c r="E132" s="59">
        <f t="shared" ref="E132:E137" si="54">D132*8</f>
        <v>0</v>
      </c>
      <c r="F132" s="84">
        <v>185</v>
      </c>
      <c r="G132" s="59">
        <f t="shared" ref="G132:G137" si="55">F132*4</f>
        <v>740</v>
      </c>
      <c r="H132" s="85">
        <f t="shared" si="40"/>
        <v>62</v>
      </c>
      <c r="I132" s="86">
        <f t="shared" ref="I132:I137" si="56">ROUND(H132,0)</f>
        <v>62</v>
      </c>
    </row>
    <row r="133" spans="1:11">
      <c r="A133" s="411"/>
      <c r="B133" s="97" t="s">
        <v>98</v>
      </c>
      <c r="C133" s="82"/>
      <c r="D133" s="83"/>
      <c r="E133" s="59">
        <f t="shared" si="54"/>
        <v>0</v>
      </c>
      <c r="F133" s="84">
        <v>281</v>
      </c>
      <c r="G133" s="59">
        <f t="shared" si="55"/>
        <v>1124</v>
      </c>
      <c r="H133" s="85">
        <f t="shared" si="40"/>
        <v>94</v>
      </c>
      <c r="I133" s="86">
        <f t="shared" si="56"/>
        <v>94</v>
      </c>
    </row>
    <row r="134" spans="1:11" hidden="1">
      <c r="A134" s="411"/>
      <c r="B134" s="97" t="s">
        <v>99</v>
      </c>
      <c r="C134" s="82"/>
      <c r="D134" s="83"/>
      <c r="E134" s="59">
        <f t="shared" si="54"/>
        <v>0</v>
      </c>
      <c r="F134" s="84">
        <v>129</v>
      </c>
      <c r="G134" s="59">
        <f t="shared" si="55"/>
        <v>516</v>
      </c>
      <c r="H134" s="85">
        <f t="shared" si="40"/>
        <v>43</v>
      </c>
      <c r="I134" s="86">
        <f t="shared" si="56"/>
        <v>43</v>
      </c>
    </row>
    <row r="135" spans="1:11" hidden="1">
      <c r="A135" s="411"/>
      <c r="B135" s="97" t="s">
        <v>104</v>
      </c>
      <c r="C135" s="82"/>
      <c r="D135" s="83"/>
      <c r="E135" s="59">
        <f t="shared" si="54"/>
        <v>0</v>
      </c>
      <c r="F135" s="84">
        <v>53</v>
      </c>
      <c r="G135" s="59">
        <f t="shared" si="55"/>
        <v>212</v>
      </c>
      <c r="H135" s="85">
        <f t="shared" si="40"/>
        <v>18</v>
      </c>
      <c r="I135" s="86">
        <f t="shared" si="56"/>
        <v>18</v>
      </c>
    </row>
    <row r="136" spans="1:11" hidden="1">
      <c r="A136" s="411"/>
      <c r="B136" s="97" t="s">
        <v>100</v>
      </c>
      <c r="C136" s="82"/>
      <c r="D136" s="83"/>
      <c r="E136" s="59">
        <f t="shared" si="54"/>
        <v>0</v>
      </c>
      <c r="F136" s="84">
        <v>0</v>
      </c>
      <c r="G136" s="59">
        <f t="shared" si="55"/>
        <v>0</v>
      </c>
      <c r="H136" s="85">
        <f t="shared" si="40"/>
        <v>0</v>
      </c>
      <c r="I136" s="86">
        <f t="shared" si="56"/>
        <v>0</v>
      </c>
    </row>
    <row r="137" spans="1:11" ht="15.75" hidden="1" thickBot="1">
      <c r="A137" s="412"/>
      <c r="B137" s="98" t="s">
        <v>105</v>
      </c>
      <c r="C137" s="88"/>
      <c r="D137" s="89"/>
      <c r="E137" s="90">
        <f t="shared" si="54"/>
        <v>0</v>
      </c>
      <c r="F137" s="91">
        <v>0</v>
      </c>
      <c r="G137" s="90">
        <f t="shared" si="55"/>
        <v>0</v>
      </c>
      <c r="H137" s="92">
        <f t="shared" si="40"/>
        <v>0</v>
      </c>
      <c r="I137" s="93">
        <f t="shared" si="56"/>
        <v>0</v>
      </c>
    </row>
    <row r="138" spans="1:11" ht="52.5" hidden="1" customHeight="1" thickBot="1">
      <c r="A138" s="409" t="s">
        <v>116</v>
      </c>
      <c r="B138" s="94" t="s">
        <v>102</v>
      </c>
      <c r="C138" s="72"/>
      <c r="D138" s="73"/>
      <c r="E138" s="74">
        <f>D138*8</f>
        <v>0</v>
      </c>
      <c r="F138" s="75">
        <f>119+20</f>
        <v>139</v>
      </c>
      <c r="G138" s="74">
        <f>F138*4</f>
        <v>556</v>
      </c>
      <c r="H138" s="76">
        <f t="shared" si="40"/>
        <v>46</v>
      </c>
      <c r="I138" s="77">
        <f>ROUND(H138,0)</f>
        <v>46</v>
      </c>
    </row>
    <row r="139" spans="1:11" hidden="1">
      <c r="A139" s="410"/>
      <c r="B139" s="97" t="s">
        <v>103</v>
      </c>
      <c r="C139" s="82"/>
      <c r="D139" s="83"/>
      <c r="E139" s="59">
        <f t="shared" ref="E139:E144" si="57">D139*8</f>
        <v>0</v>
      </c>
      <c r="F139" s="84">
        <v>76</v>
      </c>
      <c r="G139" s="59">
        <f t="shared" ref="G139:G164" si="58">F139*4</f>
        <v>304</v>
      </c>
      <c r="H139" s="85">
        <f t="shared" si="40"/>
        <v>25</v>
      </c>
      <c r="I139" s="86">
        <f t="shared" ref="I139:I144" si="59">ROUND(H139,0)</f>
        <v>25</v>
      </c>
      <c r="J139">
        <v>20</v>
      </c>
      <c r="K139" t="s">
        <v>117</v>
      </c>
    </row>
    <row r="140" spans="1:11">
      <c r="A140" s="411"/>
      <c r="B140" s="97" t="s">
        <v>98</v>
      </c>
      <c r="C140" s="82"/>
      <c r="D140" s="83"/>
      <c r="E140" s="59">
        <f t="shared" si="57"/>
        <v>0</v>
      </c>
      <c r="F140" s="84">
        <v>181</v>
      </c>
      <c r="G140" s="59">
        <f t="shared" si="58"/>
        <v>724</v>
      </c>
      <c r="H140" s="85">
        <f t="shared" si="40"/>
        <v>60</v>
      </c>
      <c r="I140" s="86">
        <f t="shared" si="59"/>
        <v>60</v>
      </c>
    </row>
    <row r="141" spans="1:11" hidden="1">
      <c r="A141" s="411"/>
      <c r="B141" s="97" t="s">
        <v>99</v>
      </c>
      <c r="C141" s="82"/>
      <c r="D141" s="83"/>
      <c r="E141" s="59">
        <f t="shared" si="57"/>
        <v>0</v>
      </c>
      <c r="F141" s="84">
        <v>31</v>
      </c>
      <c r="G141" s="59">
        <f t="shared" si="58"/>
        <v>124</v>
      </c>
      <c r="H141" s="85">
        <f t="shared" si="40"/>
        <v>10</v>
      </c>
      <c r="I141" s="86">
        <f t="shared" si="59"/>
        <v>10</v>
      </c>
    </row>
    <row r="142" spans="1:11" hidden="1">
      <c r="A142" s="411"/>
      <c r="B142" s="97" t="s">
        <v>104</v>
      </c>
      <c r="C142" s="82"/>
      <c r="D142" s="83"/>
      <c r="E142" s="59">
        <f t="shared" si="57"/>
        <v>0</v>
      </c>
      <c r="F142" s="84">
        <v>81</v>
      </c>
      <c r="G142" s="59">
        <f t="shared" si="58"/>
        <v>324</v>
      </c>
      <c r="H142" s="85">
        <f t="shared" si="40"/>
        <v>27</v>
      </c>
      <c r="I142" s="86">
        <f t="shared" si="59"/>
        <v>27</v>
      </c>
      <c r="J142">
        <v>8</v>
      </c>
      <c r="K142" t="s">
        <v>117</v>
      </c>
    </row>
    <row r="143" spans="1:11" hidden="1">
      <c r="A143" s="411"/>
      <c r="B143" s="97" t="s">
        <v>100</v>
      </c>
      <c r="C143" s="82"/>
      <c r="D143" s="83"/>
      <c r="E143" s="59">
        <f t="shared" si="57"/>
        <v>0</v>
      </c>
      <c r="F143" s="84">
        <v>20</v>
      </c>
      <c r="G143" s="59">
        <f t="shared" si="58"/>
        <v>80</v>
      </c>
      <c r="H143" s="85">
        <f t="shared" si="40"/>
        <v>7</v>
      </c>
      <c r="I143" s="86">
        <f t="shared" si="59"/>
        <v>7</v>
      </c>
    </row>
    <row r="144" spans="1:11" hidden="1">
      <c r="A144" s="411"/>
      <c r="B144" s="107" t="s">
        <v>105</v>
      </c>
      <c r="C144" s="108"/>
      <c r="D144" s="109"/>
      <c r="E144" s="110">
        <f t="shared" si="57"/>
        <v>0</v>
      </c>
      <c r="F144" s="111">
        <v>0</v>
      </c>
      <c r="G144" s="110">
        <f t="shared" si="58"/>
        <v>0</v>
      </c>
      <c r="H144" s="112">
        <f t="shared" si="40"/>
        <v>0</v>
      </c>
      <c r="I144" s="144">
        <f t="shared" si="59"/>
        <v>0</v>
      </c>
    </row>
    <row r="145" spans="1:9" hidden="1">
      <c r="A145" s="409" t="s">
        <v>118</v>
      </c>
      <c r="B145" s="94" t="s">
        <v>102</v>
      </c>
      <c r="C145" s="72"/>
      <c r="D145" s="73">
        <v>498</v>
      </c>
      <c r="E145" s="74">
        <f t="shared" ref="E145:E151" si="60">D145*5</f>
        <v>2490</v>
      </c>
      <c r="F145" s="75">
        <v>360</v>
      </c>
      <c r="G145" s="74">
        <f t="shared" si="58"/>
        <v>1440</v>
      </c>
      <c r="H145" s="121">
        <f t="shared" ref="H145:H151" si="61">ROUND((E145+G145)/9,0)</f>
        <v>437</v>
      </c>
      <c r="I145" s="77">
        <f>ROUND(H145,0)</f>
        <v>437</v>
      </c>
    </row>
    <row r="146" spans="1:9" hidden="1">
      <c r="A146" s="410"/>
      <c r="B146" s="97" t="s">
        <v>103</v>
      </c>
      <c r="C146" s="82"/>
      <c r="D146" s="83">
        <v>287</v>
      </c>
      <c r="E146" s="59">
        <f t="shared" si="60"/>
        <v>1435</v>
      </c>
      <c r="F146" s="84">
        <v>281</v>
      </c>
      <c r="G146" s="59">
        <f t="shared" si="58"/>
        <v>1124</v>
      </c>
      <c r="H146" s="123">
        <f t="shared" si="61"/>
        <v>284</v>
      </c>
      <c r="I146" s="86">
        <f t="shared" ref="I146:I151" si="62">ROUND(H146,0)</f>
        <v>284</v>
      </c>
    </row>
    <row r="147" spans="1:9">
      <c r="A147" s="411"/>
      <c r="B147" s="97" t="s">
        <v>98</v>
      </c>
      <c r="C147" s="82"/>
      <c r="D147" s="83">
        <v>289</v>
      </c>
      <c r="E147" s="59">
        <f t="shared" si="60"/>
        <v>1445</v>
      </c>
      <c r="F147" s="84">
        <v>462</v>
      </c>
      <c r="G147" s="59">
        <f t="shared" si="58"/>
        <v>1848</v>
      </c>
      <c r="H147" s="123">
        <f t="shared" si="61"/>
        <v>366</v>
      </c>
      <c r="I147" s="86">
        <f t="shared" si="62"/>
        <v>366</v>
      </c>
    </row>
    <row r="148" spans="1:9" hidden="1">
      <c r="A148" s="411"/>
      <c r="B148" s="97" t="s">
        <v>99</v>
      </c>
      <c r="C148" s="82"/>
      <c r="D148" s="83">
        <v>105</v>
      </c>
      <c r="E148" s="59">
        <f t="shared" si="60"/>
        <v>525</v>
      </c>
      <c r="F148" s="84">
        <v>160</v>
      </c>
      <c r="G148" s="59">
        <f t="shared" si="58"/>
        <v>640</v>
      </c>
      <c r="H148" s="123">
        <f t="shared" si="61"/>
        <v>129</v>
      </c>
      <c r="I148" s="86">
        <f t="shared" si="62"/>
        <v>129</v>
      </c>
    </row>
    <row r="149" spans="1:9" hidden="1">
      <c r="A149" s="411"/>
      <c r="B149" s="97" t="s">
        <v>104</v>
      </c>
      <c r="C149" s="82"/>
      <c r="D149" s="83">
        <v>155</v>
      </c>
      <c r="E149" s="59">
        <f t="shared" si="60"/>
        <v>775</v>
      </c>
      <c r="F149" s="84">
        <f>142+19</f>
        <v>161</v>
      </c>
      <c r="G149" s="59">
        <f t="shared" si="58"/>
        <v>644</v>
      </c>
      <c r="H149" s="123">
        <f t="shared" si="61"/>
        <v>158</v>
      </c>
      <c r="I149" s="86">
        <f t="shared" si="62"/>
        <v>158</v>
      </c>
    </row>
    <row r="150" spans="1:9" hidden="1">
      <c r="A150" s="411"/>
      <c r="B150" s="97" t="s">
        <v>100</v>
      </c>
      <c r="C150" s="82"/>
      <c r="D150" s="83">
        <v>41</v>
      </c>
      <c r="E150" s="59">
        <f t="shared" si="60"/>
        <v>205</v>
      </c>
      <c r="F150" s="84">
        <v>20</v>
      </c>
      <c r="G150" s="59">
        <f t="shared" si="58"/>
        <v>80</v>
      </c>
      <c r="H150" s="123">
        <f t="shared" si="61"/>
        <v>32</v>
      </c>
      <c r="I150" s="86">
        <f t="shared" si="62"/>
        <v>32</v>
      </c>
    </row>
    <row r="151" spans="1:9" ht="15.75" hidden="1" thickBot="1">
      <c r="A151" s="412"/>
      <c r="B151" s="98" t="s">
        <v>105</v>
      </c>
      <c r="C151" s="88"/>
      <c r="D151" s="89">
        <v>0</v>
      </c>
      <c r="E151" s="90">
        <f t="shared" si="60"/>
        <v>0</v>
      </c>
      <c r="F151" s="91">
        <v>0</v>
      </c>
      <c r="G151" s="90">
        <f t="shared" si="58"/>
        <v>0</v>
      </c>
      <c r="H151" s="125">
        <f t="shared" si="61"/>
        <v>0</v>
      </c>
      <c r="I151" s="93">
        <f t="shared" si="62"/>
        <v>0</v>
      </c>
    </row>
    <row r="152" spans="1:9" ht="15.75" hidden="1" customHeight="1">
      <c r="A152" s="406" t="s">
        <v>119</v>
      </c>
      <c r="B152" s="145" t="s">
        <v>120</v>
      </c>
      <c r="C152" s="146">
        <v>38</v>
      </c>
      <c r="D152" s="101">
        <v>38</v>
      </c>
      <c r="E152" s="102">
        <f t="shared" ref="E152:E164" si="63">D152*8</f>
        <v>304</v>
      </c>
      <c r="F152" s="147">
        <v>34</v>
      </c>
      <c r="G152" s="102">
        <f t="shared" si="58"/>
        <v>136</v>
      </c>
      <c r="H152" s="104">
        <f t="shared" si="40"/>
        <v>37</v>
      </c>
      <c r="I152" s="148">
        <f t="shared" si="53"/>
        <v>37</v>
      </c>
    </row>
    <row r="153" spans="1:9" ht="15.75" hidden="1" thickBot="1">
      <c r="A153" s="407"/>
      <c r="B153" s="149" t="s">
        <v>121</v>
      </c>
      <c r="C153" s="150">
        <v>48</v>
      </c>
      <c r="D153" s="89">
        <v>48</v>
      </c>
      <c r="E153" s="90">
        <f t="shared" si="63"/>
        <v>384</v>
      </c>
      <c r="F153" s="91">
        <v>42</v>
      </c>
      <c r="G153" s="90">
        <f t="shared" si="58"/>
        <v>168</v>
      </c>
      <c r="H153" s="92">
        <f t="shared" si="40"/>
        <v>46</v>
      </c>
      <c r="I153" s="93">
        <f t="shared" si="53"/>
        <v>46</v>
      </c>
    </row>
    <row r="154" spans="1:9" hidden="1">
      <c r="A154" s="406" t="s">
        <v>122</v>
      </c>
      <c r="B154" s="145" t="s">
        <v>120</v>
      </c>
      <c r="C154" s="151">
        <v>97</v>
      </c>
      <c r="D154" s="130">
        <v>97</v>
      </c>
      <c r="E154" s="102">
        <f t="shared" si="63"/>
        <v>776</v>
      </c>
      <c r="F154" s="152">
        <v>99</v>
      </c>
      <c r="G154" s="102">
        <f t="shared" si="58"/>
        <v>396</v>
      </c>
      <c r="H154" s="104">
        <f t="shared" si="40"/>
        <v>98</v>
      </c>
      <c r="I154" s="105">
        <f t="shared" si="53"/>
        <v>98</v>
      </c>
    </row>
    <row r="155" spans="1:9" hidden="1">
      <c r="A155" s="406"/>
      <c r="B155" s="153" t="s">
        <v>123</v>
      </c>
      <c r="C155" s="154">
        <v>110</v>
      </c>
      <c r="D155" s="83">
        <v>110</v>
      </c>
      <c r="E155" s="59">
        <f t="shared" si="63"/>
        <v>880</v>
      </c>
      <c r="F155" s="155">
        <v>106</v>
      </c>
      <c r="G155" s="59">
        <f t="shared" si="58"/>
        <v>424</v>
      </c>
      <c r="H155" s="85">
        <f t="shared" si="40"/>
        <v>109</v>
      </c>
      <c r="I155" s="58">
        <f t="shared" si="53"/>
        <v>109</v>
      </c>
    </row>
    <row r="156" spans="1:9" hidden="1">
      <c r="A156" s="406"/>
      <c r="B156" s="153" t="s">
        <v>124</v>
      </c>
      <c r="C156" s="154">
        <v>97</v>
      </c>
      <c r="D156" s="83">
        <v>94</v>
      </c>
      <c r="E156" s="59">
        <f t="shared" si="63"/>
        <v>752</v>
      </c>
      <c r="F156" s="84">
        <v>97</v>
      </c>
      <c r="G156" s="59">
        <f t="shared" si="58"/>
        <v>388</v>
      </c>
      <c r="H156" s="85">
        <f t="shared" si="40"/>
        <v>95</v>
      </c>
      <c r="I156" s="58">
        <f t="shared" si="53"/>
        <v>95</v>
      </c>
    </row>
    <row r="157" spans="1:9" hidden="1">
      <c r="A157" s="406"/>
      <c r="B157" s="153" t="s">
        <v>121</v>
      </c>
      <c r="C157" s="154">
        <v>101</v>
      </c>
      <c r="D157" s="83">
        <v>101</v>
      </c>
      <c r="E157" s="59">
        <f t="shared" si="63"/>
        <v>808</v>
      </c>
      <c r="F157" s="84">
        <v>100</v>
      </c>
      <c r="G157" s="59">
        <f t="shared" si="58"/>
        <v>400</v>
      </c>
      <c r="H157" s="85">
        <f t="shared" si="40"/>
        <v>101</v>
      </c>
      <c r="I157" s="58">
        <f t="shared" si="53"/>
        <v>101</v>
      </c>
    </row>
    <row r="158" spans="1:9" hidden="1">
      <c r="A158" s="406"/>
      <c r="B158" s="156" t="s">
        <v>125</v>
      </c>
      <c r="C158" s="157">
        <v>38</v>
      </c>
      <c r="D158" s="109">
        <v>37</v>
      </c>
      <c r="E158" s="110">
        <f t="shared" si="63"/>
        <v>296</v>
      </c>
      <c r="F158" s="158">
        <v>43</v>
      </c>
      <c r="G158" s="110">
        <f t="shared" si="58"/>
        <v>172</v>
      </c>
      <c r="H158" s="112">
        <f t="shared" si="40"/>
        <v>39</v>
      </c>
      <c r="I158" s="113">
        <f t="shared" si="53"/>
        <v>39</v>
      </c>
    </row>
    <row r="159" spans="1:9" hidden="1">
      <c r="A159" s="408" t="s">
        <v>15</v>
      </c>
      <c r="B159" s="159" t="s">
        <v>120</v>
      </c>
      <c r="C159" s="160">
        <v>135</v>
      </c>
      <c r="D159" s="161">
        <v>135</v>
      </c>
      <c r="E159" s="74">
        <f t="shared" si="63"/>
        <v>1080</v>
      </c>
      <c r="F159" s="162">
        <v>133</v>
      </c>
      <c r="G159" s="74">
        <f t="shared" si="58"/>
        <v>532</v>
      </c>
      <c r="H159" s="121">
        <v>135</v>
      </c>
      <c r="I159" s="77">
        <f t="shared" si="53"/>
        <v>135</v>
      </c>
    </row>
    <row r="160" spans="1:9" hidden="1">
      <c r="A160" s="406"/>
      <c r="B160" s="153" t="s">
        <v>123</v>
      </c>
      <c r="C160" s="154">
        <v>110</v>
      </c>
      <c r="D160" s="83">
        <v>110</v>
      </c>
      <c r="E160" s="59">
        <f t="shared" si="63"/>
        <v>880</v>
      </c>
      <c r="F160" s="84">
        <v>106</v>
      </c>
      <c r="G160" s="59">
        <f t="shared" si="58"/>
        <v>424</v>
      </c>
      <c r="H160" s="85">
        <f t="shared" si="40"/>
        <v>109</v>
      </c>
      <c r="I160" s="86">
        <f t="shared" si="53"/>
        <v>109</v>
      </c>
    </row>
    <row r="161" spans="1:20" hidden="1">
      <c r="A161" s="406"/>
      <c r="B161" s="153" t="s">
        <v>124</v>
      </c>
      <c r="C161" s="154">
        <v>97</v>
      </c>
      <c r="D161" s="83">
        <v>94</v>
      </c>
      <c r="E161" s="59">
        <f t="shared" si="63"/>
        <v>752</v>
      </c>
      <c r="F161" s="84">
        <v>97</v>
      </c>
      <c r="G161" s="59">
        <f t="shared" si="58"/>
        <v>388</v>
      </c>
      <c r="H161" s="85">
        <f t="shared" si="40"/>
        <v>95</v>
      </c>
      <c r="I161" s="86">
        <f t="shared" si="53"/>
        <v>95</v>
      </c>
    </row>
    <row r="162" spans="1:20" hidden="1">
      <c r="A162" s="406"/>
      <c r="B162" s="153" t="s">
        <v>121</v>
      </c>
      <c r="C162" s="154">
        <v>149</v>
      </c>
      <c r="D162" s="83">
        <v>149</v>
      </c>
      <c r="E162" s="59">
        <f t="shared" si="63"/>
        <v>1192</v>
      </c>
      <c r="F162" s="84">
        <v>142</v>
      </c>
      <c r="G162" s="59">
        <f t="shared" si="58"/>
        <v>568</v>
      </c>
      <c r="H162" s="85">
        <f t="shared" si="40"/>
        <v>147</v>
      </c>
      <c r="I162" s="86">
        <f t="shared" si="53"/>
        <v>147</v>
      </c>
    </row>
    <row r="163" spans="1:20" hidden="1">
      <c r="A163" s="406"/>
      <c r="B163" s="156" t="s">
        <v>125</v>
      </c>
      <c r="C163" s="157">
        <v>38</v>
      </c>
      <c r="D163" s="109">
        <v>37</v>
      </c>
      <c r="E163" s="110">
        <f t="shared" si="63"/>
        <v>296</v>
      </c>
      <c r="F163" s="111">
        <v>43</v>
      </c>
      <c r="G163" s="110">
        <f t="shared" si="58"/>
        <v>172</v>
      </c>
      <c r="H163" s="112">
        <f t="shared" si="40"/>
        <v>39</v>
      </c>
      <c r="I163" s="144">
        <f t="shared" si="53"/>
        <v>39</v>
      </c>
    </row>
    <row r="164" spans="1:20" ht="45" hidden="1">
      <c r="A164" s="163" t="s">
        <v>126</v>
      </c>
      <c r="B164" s="164" t="s">
        <v>127</v>
      </c>
      <c r="C164" s="72"/>
      <c r="D164" s="73">
        <v>790</v>
      </c>
      <c r="E164" s="74">
        <f t="shared" si="63"/>
        <v>6320</v>
      </c>
      <c r="F164" s="75">
        <v>775</v>
      </c>
      <c r="G164" s="74">
        <f t="shared" si="58"/>
        <v>3100</v>
      </c>
      <c r="H164" s="121">
        <f t="shared" si="40"/>
        <v>785</v>
      </c>
      <c r="I164" s="122">
        <f t="shared" si="53"/>
        <v>785</v>
      </c>
      <c r="J164" s="165" t="s">
        <v>112</v>
      </c>
      <c r="K164" s="166" t="s">
        <v>128</v>
      </c>
      <c r="M164" s="167" t="s">
        <v>129</v>
      </c>
      <c r="N164" s="167" t="s">
        <v>130</v>
      </c>
      <c r="O164" s="167" t="s">
        <v>131</v>
      </c>
      <c r="Q164" s="168" t="s">
        <v>132</v>
      </c>
      <c r="R164" s="57">
        <v>1.33</v>
      </c>
      <c r="S164" s="57">
        <v>0.33</v>
      </c>
      <c r="T164" s="57">
        <v>0.67</v>
      </c>
    </row>
    <row r="165" spans="1:20" ht="37.5" hidden="1" customHeight="1">
      <c r="A165" s="169" t="s">
        <v>133</v>
      </c>
      <c r="B165" s="170" t="s">
        <v>134</v>
      </c>
      <c r="C165" s="82">
        <v>405150</v>
      </c>
      <c r="D165" s="83"/>
      <c r="E165" s="59"/>
      <c r="F165" s="84"/>
      <c r="G165" s="60" t="s">
        <v>135</v>
      </c>
      <c r="H165" s="123">
        <f>(23.78*18*52*785)/57</f>
        <v>306536.71578947367</v>
      </c>
      <c r="I165" s="124">
        <f t="shared" si="53"/>
        <v>306537</v>
      </c>
      <c r="J165" s="171">
        <f>ROUND((23.78*18*52*775)/57,0)</f>
        <v>302632</v>
      </c>
      <c r="K165" s="172">
        <f>ROUND((M165*18*52*O165)/N165,0)</f>
        <v>225403</v>
      </c>
      <c r="M165" s="57">
        <v>17.329999999999998</v>
      </c>
      <c r="N165" s="57">
        <f>5+5+5+2+11+6+10+3+1</f>
        <v>48</v>
      </c>
      <c r="O165" s="57">
        <v>667</v>
      </c>
      <c r="Q165" s="167" t="s">
        <v>136</v>
      </c>
      <c r="R165" s="57">
        <v>0.67</v>
      </c>
      <c r="S165" s="57">
        <v>1.17</v>
      </c>
      <c r="T165" s="57">
        <v>2.2200000000000002</v>
      </c>
    </row>
    <row r="166" spans="1:20" ht="37.5" hidden="1" customHeight="1">
      <c r="A166" s="169" t="s">
        <v>137</v>
      </c>
      <c r="B166" s="170" t="s">
        <v>138</v>
      </c>
      <c r="C166" s="82"/>
      <c r="D166" s="83"/>
      <c r="E166" s="59"/>
      <c r="F166" s="84">
        <v>3</v>
      </c>
      <c r="G166" s="59"/>
      <c r="H166" s="85">
        <v>3</v>
      </c>
      <c r="I166" s="124">
        <f t="shared" si="53"/>
        <v>3</v>
      </c>
      <c r="J166" s="173">
        <v>3</v>
      </c>
      <c r="K166" s="172">
        <v>3</v>
      </c>
      <c r="M166" s="57"/>
      <c r="N166" s="57"/>
      <c r="O166" s="57"/>
      <c r="Q166" s="167" t="s">
        <v>139</v>
      </c>
      <c r="R166" s="57">
        <v>0.67</v>
      </c>
      <c r="S166" s="57">
        <v>1.33</v>
      </c>
      <c r="T166" s="57">
        <v>1.33</v>
      </c>
    </row>
    <row r="167" spans="1:20" ht="37.5" hidden="1" customHeight="1" thickBot="1">
      <c r="A167" s="169" t="s">
        <v>133</v>
      </c>
      <c r="B167" s="170" t="s">
        <v>140</v>
      </c>
      <c r="C167" s="82"/>
      <c r="D167" s="83"/>
      <c r="E167" s="59"/>
      <c r="F167" s="84" t="s">
        <v>141</v>
      </c>
      <c r="G167" s="59"/>
      <c r="H167" s="85" t="s">
        <v>141</v>
      </c>
      <c r="I167" s="124"/>
      <c r="J167" s="174"/>
      <c r="K167" s="172">
        <f>ROUND((M167*18*52*O167)/N167,0)</f>
        <v>72446</v>
      </c>
      <c r="M167" s="57">
        <v>6.45</v>
      </c>
      <c r="N167" s="57">
        <f>1+3+2+1+1+1</f>
        <v>9</v>
      </c>
      <c r="O167" s="57">
        <v>108</v>
      </c>
      <c r="Q167" s="167" t="s">
        <v>142</v>
      </c>
      <c r="R167" s="57">
        <v>0.33</v>
      </c>
      <c r="S167" s="57">
        <v>0.5</v>
      </c>
      <c r="T167" s="57"/>
    </row>
    <row r="168" spans="1:20" hidden="1">
      <c r="A168" s="175" t="s">
        <v>143</v>
      </c>
      <c r="B168" s="176" t="s">
        <v>127</v>
      </c>
      <c r="C168" s="100"/>
      <c r="D168" s="101">
        <v>2382</v>
      </c>
      <c r="E168" s="102">
        <f>D168*5</f>
        <v>11910</v>
      </c>
      <c r="F168" s="103">
        <f>1805+20+10+50+35+10</f>
        <v>1930</v>
      </c>
      <c r="G168" s="102">
        <f>F168*4</f>
        <v>7720</v>
      </c>
      <c r="H168" s="104">
        <f>ROUND((E168+G168)/9,0)</f>
        <v>2181</v>
      </c>
      <c r="I168" s="148"/>
      <c r="Q168" s="167" t="s">
        <v>144</v>
      </c>
      <c r="R168" s="57">
        <v>3.67</v>
      </c>
      <c r="S168" s="57"/>
      <c r="T168" s="57"/>
    </row>
    <row r="169" spans="1:20" hidden="1">
      <c r="A169" s="177" t="s">
        <v>145</v>
      </c>
      <c r="B169" s="178" t="s">
        <v>146</v>
      </c>
      <c r="C169" s="82"/>
      <c r="D169" s="83">
        <v>138</v>
      </c>
      <c r="E169" s="59">
        <f t="shared" ref="E169:E174" si="64">D169*5</f>
        <v>690</v>
      </c>
      <c r="F169" s="179">
        <v>121</v>
      </c>
      <c r="G169" s="59">
        <f t="shared" ref="G169:G174" si="65">F169*4</f>
        <v>484</v>
      </c>
      <c r="H169" s="123">
        <f t="shared" ref="H169:H174" si="66">ROUND((E169+G169)/9,0)</f>
        <v>130</v>
      </c>
      <c r="I169" s="86"/>
      <c r="Q169" s="167" t="s">
        <v>147</v>
      </c>
      <c r="R169" s="57">
        <v>1</v>
      </c>
      <c r="S169" s="57">
        <v>1.33</v>
      </c>
      <c r="T169" s="57">
        <v>0.67</v>
      </c>
    </row>
    <row r="170" spans="1:20" hidden="1">
      <c r="A170" s="177" t="s">
        <v>145</v>
      </c>
      <c r="B170" s="178" t="s">
        <v>148</v>
      </c>
      <c r="C170" s="82"/>
      <c r="D170" s="83">
        <v>133</v>
      </c>
      <c r="E170" s="59">
        <f t="shared" si="64"/>
        <v>665</v>
      </c>
      <c r="F170" s="179">
        <f>84+20+10+50</f>
        <v>164</v>
      </c>
      <c r="G170" s="59">
        <f t="shared" si="65"/>
        <v>656</v>
      </c>
      <c r="H170" s="123">
        <f t="shared" si="66"/>
        <v>147</v>
      </c>
      <c r="I170" s="86"/>
      <c r="Q170" s="167" t="s">
        <v>149</v>
      </c>
      <c r="R170" s="57"/>
      <c r="S170" s="57"/>
      <c r="T170" s="57">
        <v>0.89</v>
      </c>
    </row>
    <row r="171" spans="1:20" hidden="1">
      <c r="A171" s="177" t="s">
        <v>145</v>
      </c>
      <c r="B171" s="178" t="s">
        <v>150</v>
      </c>
      <c r="C171" s="82"/>
      <c r="D171" s="83">
        <v>1051</v>
      </c>
      <c r="E171" s="59">
        <f t="shared" si="64"/>
        <v>5255</v>
      </c>
      <c r="F171" s="179">
        <v>724</v>
      </c>
      <c r="G171" s="59">
        <f t="shared" si="65"/>
        <v>2896</v>
      </c>
      <c r="H171" s="123">
        <f t="shared" si="66"/>
        <v>906</v>
      </c>
      <c r="I171" s="86"/>
      <c r="Q171" s="167" t="s">
        <v>151</v>
      </c>
      <c r="R171" s="57">
        <f>2.33+0.01</f>
        <v>2.34</v>
      </c>
      <c r="S171" s="57">
        <v>1.33</v>
      </c>
      <c r="T171" s="57">
        <v>0.67</v>
      </c>
    </row>
    <row r="172" spans="1:20" hidden="1">
      <c r="A172" s="177" t="s">
        <v>145</v>
      </c>
      <c r="B172" s="178" t="s">
        <v>134</v>
      </c>
      <c r="C172" s="82"/>
      <c r="D172" s="83">
        <v>113</v>
      </c>
      <c r="E172" s="59">
        <f t="shared" si="64"/>
        <v>565</v>
      </c>
      <c r="F172" s="179">
        <v>133</v>
      </c>
      <c r="G172" s="59">
        <f t="shared" si="65"/>
        <v>532</v>
      </c>
      <c r="H172" s="123">
        <f t="shared" si="66"/>
        <v>122</v>
      </c>
      <c r="I172" s="86"/>
      <c r="Q172" s="167" t="s">
        <v>152</v>
      </c>
      <c r="R172" s="57">
        <v>1</v>
      </c>
      <c r="S172" s="57"/>
      <c r="T172" s="57"/>
    </row>
    <row r="173" spans="1:20" hidden="1">
      <c r="A173" s="177" t="s">
        <v>145</v>
      </c>
      <c r="B173" s="178" t="s">
        <v>153</v>
      </c>
      <c r="C173" s="82"/>
      <c r="D173" s="83">
        <v>933</v>
      </c>
      <c r="E173" s="59">
        <f t="shared" si="64"/>
        <v>4665</v>
      </c>
      <c r="F173" s="179">
        <f>731+35+10</f>
        <v>776</v>
      </c>
      <c r="G173" s="59">
        <f t="shared" si="65"/>
        <v>3104</v>
      </c>
      <c r="H173" s="123">
        <f t="shared" si="66"/>
        <v>863</v>
      </c>
      <c r="I173" s="86"/>
      <c r="Q173" s="167" t="s">
        <v>154</v>
      </c>
      <c r="R173" s="57">
        <v>0.33</v>
      </c>
      <c r="S173" s="57"/>
      <c r="T173" s="57"/>
    </row>
    <row r="174" spans="1:20" hidden="1">
      <c r="A174" s="177" t="s">
        <v>145</v>
      </c>
      <c r="B174" s="57" t="s">
        <v>155</v>
      </c>
      <c r="C174" s="82"/>
      <c r="D174" s="83">
        <v>14</v>
      </c>
      <c r="E174" s="59">
        <f t="shared" si="64"/>
        <v>70</v>
      </c>
      <c r="F174" s="84">
        <v>12</v>
      </c>
      <c r="G174" s="59">
        <f t="shared" si="65"/>
        <v>48</v>
      </c>
      <c r="H174" s="123">
        <f t="shared" si="66"/>
        <v>13</v>
      </c>
      <c r="I174" s="86"/>
      <c r="S174" s="120">
        <f>SUM(R164:S173)</f>
        <v>17.329999999999998</v>
      </c>
      <c r="T174" s="120">
        <f>SUM(T164:T173)</f>
        <v>6.45</v>
      </c>
    </row>
    <row r="175" spans="1:20" ht="165" hidden="1">
      <c r="A175" s="177" t="s">
        <v>145</v>
      </c>
      <c r="B175" s="53" t="s">
        <v>156</v>
      </c>
      <c r="C175" s="82"/>
      <c r="D175" s="83"/>
      <c r="E175" s="59"/>
      <c r="F175" s="84">
        <v>100</v>
      </c>
      <c r="G175" s="59"/>
      <c r="H175" s="123">
        <v>100</v>
      </c>
      <c r="I175" s="86"/>
    </row>
    <row r="176" spans="1:20" ht="150" hidden="1">
      <c r="A176" s="180" t="s">
        <v>145</v>
      </c>
      <c r="B176" s="181" t="s">
        <v>157</v>
      </c>
      <c r="C176" s="108"/>
      <c r="D176" s="109"/>
      <c r="E176" s="110"/>
      <c r="F176" s="111">
        <v>500</v>
      </c>
      <c r="G176" s="110"/>
      <c r="H176" s="182">
        <v>500</v>
      </c>
      <c r="I176" s="144"/>
      <c r="J176" s="120" t="s">
        <v>158</v>
      </c>
      <c r="K176" s="120" t="s">
        <v>159</v>
      </c>
      <c r="M176" s="120" t="s">
        <v>112</v>
      </c>
    </row>
    <row r="177" spans="1:13" hidden="1">
      <c r="A177" s="177" t="s">
        <v>160</v>
      </c>
      <c r="B177" s="178" t="s">
        <v>146</v>
      </c>
      <c r="C177" s="82">
        <v>22506</v>
      </c>
      <c r="D177" s="83"/>
      <c r="E177" s="59">
        <f t="shared" ref="E177:E182" si="67">D177*5</f>
        <v>0</v>
      </c>
      <c r="F177" s="179"/>
      <c r="G177" s="59">
        <f t="shared" ref="G177:G182" si="68">F177*4</f>
        <v>0</v>
      </c>
      <c r="H177" s="123">
        <f t="shared" ref="H177:H182" si="69">(K177*18*37*H169)/J177</f>
        <v>9620</v>
      </c>
      <c r="I177" s="124"/>
      <c r="J177" s="57">
        <v>11</v>
      </c>
      <c r="K177" s="183">
        <f>22/18</f>
        <v>1.2222222222222223</v>
      </c>
      <c r="M177" s="184">
        <f t="shared" ref="M177:M182" si="70">ROUND((K177*18*37*F169)/J177,0)</f>
        <v>8954</v>
      </c>
    </row>
    <row r="178" spans="1:13" hidden="1">
      <c r="A178" s="177" t="s">
        <v>160</v>
      </c>
      <c r="B178" s="178" t="s">
        <v>148</v>
      </c>
      <c r="C178" s="82">
        <v>23064</v>
      </c>
      <c r="D178" s="83"/>
      <c r="E178" s="59">
        <f t="shared" si="67"/>
        <v>0</v>
      </c>
      <c r="F178" s="179"/>
      <c r="G178" s="59">
        <f t="shared" si="68"/>
        <v>0</v>
      </c>
      <c r="H178" s="123">
        <f t="shared" si="69"/>
        <v>21937.3</v>
      </c>
      <c r="I178" s="124"/>
      <c r="J178" s="57">
        <f>7+2+1+5</f>
        <v>15</v>
      </c>
      <c r="K178" s="183">
        <f>(26+8+6+20.5)/18</f>
        <v>3.3611111111111112</v>
      </c>
      <c r="M178" s="185">
        <f t="shared" si="70"/>
        <v>24474</v>
      </c>
    </row>
    <row r="179" spans="1:13" hidden="1">
      <c r="A179" s="177" t="s">
        <v>160</v>
      </c>
      <c r="B179" s="178" t="s">
        <v>150</v>
      </c>
      <c r="C179" s="82">
        <v>136710</v>
      </c>
      <c r="D179" s="83"/>
      <c r="E179" s="59">
        <f t="shared" si="67"/>
        <v>0</v>
      </c>
      <c r="F179" s="179"/>
      <c r="G179" s="59">
        <f t="shared" si="68"/>
        <v>0</v>
      </c>
      <c r="H179" s="123">
        <f t="shared" si="69"/>
        <v>115767.83720930232</v>
      </c>
      <c r="I179" s="124"/>
      <c r="J179" s="57">
        <v>43</v>
      </c>
      <c r="K179" s="183">
        <f>148.5/18</f>
        <v>8.25</v>
      </c>
      <c r="M179" s="185">
        <f t="shared" si="70"/>
        <v>92512</v>
      </c>
    </row>
    <row r="180" spans="1:13" hidden="1">
      <c r="A180" s="177" t="s">
        <v>160</v>
      </c>
      <c r="B180" s="178" t="s">
        <v>134</v>
      </c>
      <c r="C180" s="82">
        <v>22692</v>
      </c>
      <c r="D180" s="83"/>
      <c r="E180" s="59">
        <f t="shared" si="67"/>
        <v>0</v>
      </c>
      <c r="F180" s="179"/>
      <c r="G180" s="59">
        <f t="shared" si="68"/>
        <v>0</v>
      </c>
      <c r="H180" s="123">
        <f>(K180*18*37*H172)/J180</f>
        <v>15680.21052631579</v>
      </c>
      <c r="I180" s="124"/>
      <c r="J180" s="57">
        <v>19</v>
      </c>
      <c r="K180" s="183">
        <f>66/18</f>
        <v>3.6666666666666665</v>
      </c>
      <c r="M180" s="185">
        <f t="shared" si="70"/>
        <v>17094</v>
      </c>
    </row>
    <row r="181" spans="1:13" hidden="1">
      <c r="A181" s="177" t="s">
        <v>160</v>
      </c>
      <c r="B181" s="178" t="s">
        <v>153</v>
      </c>
      <c r="C181" s="82">
        <v>144336</v>
      </c>
      <c r="D181" s="83"/>
      <c r="E181" s="59">
        <f t="shared" si="67"/>
        <v>0</v>
      </c>
      <c r="F181" s="179"/>
      <c r="G181" s="59">
        <f t="shared" si="68"/>
        <v>0</v>
      </c>
      <c r="H181" s="123">
        <f t="shared" si="69"/>
        <v>96933.392857142855</v>
      </c>
      <c r="I181" s="124"/>
      <c r="J181" s="57">
        <f>76+7+1</f>
        <v>84</v>
      </c>
      <c r="K181" s="183">
        <f>(213+36+6)/18</f>
        <v>14.166666666666666</v>
      </c>
      <c r="M181" s="185">
        <f t="shared" si="70"/>
        <v>87161</v>
      </c>
    </row>
    <row r="182" spans="1:13" ht="15.75" hidden="1" thickBot="1">
      <c r="A182" s="186" t="s">
        <v>160</v>
      </c>
      <c r="B182" s="187" t="s">
        <v>155</v>
      </c>
      <c r="C182" s="88"/>
      <c r="D182" s="89"/>
      <c r="E182" s="90">
        <f t="shared" si="67"/>
        <v>0</v>
      </c>
      <c r="F182" s="91"/>
      <c r="G182" s="90">
        <f t="shared" si="68"/>
        <v>0</v>
      </c>
      <c r="H182" s="125">
        <f t="shared" si="69"/>
        <v>2886</v>
      </c>
      <c r="I182" s="126"/>
      <c r="J182" s="57">
        <v>1</v>
      </c>
      <c r="K182" s="183">
        <f>6/18</f>
        <v>0.33333333333333331</v>
      </c>
      <c r="M182" s="143">
        <f t="shared" si="70"/>
        <v>2664</v>
      </c>
    </row>
    <row r="183" spans="1:13">
      <c r="A183" s="188"/>
      <c r="B183" s="80"/>
      <c r="C183" s="189"/>
      <c r="D183" s="189"/>
      <c r="E183" s="190"/>
      <c r="F183" s="191"/>
      <c r="G183" s="190"/>
      <c r="H183" s="189"/>
      <c r="I183" s="191"/>
    </row>
    <row r="184" spans="1:13">
      <c r="A184" s="188"/>
      <c r="B184" s="80"/>
      <c r="C184" s="189"/>
      <c r="D184" s="189"/>
      <c r="E184" s="190"/>
      <c r="F184" s="191"/>
      <c r="G184" s="190"/>
      <c r="H184" s="189"/>
      <c r="I184" s="191"/>
    </row>
    <row r="185" spans="1:13">
      <c r="A185" s="188"/>
      <c r="B185" s="80"/>
      <c r="C185" s="189"/>
      <c r="D185" s="189"/>
      <c r="E185" s="190"/>
      <c r="F185" s="191"/>
      <c r="G185" s="190"/>
      <c r="H185" s="189"/>
      <c r="I185" s="191"/>
    </row>
    <row r="186" spans="1:13">
      <c r="A186" s="188"/>
      <c r="B186" s="80"/>
      <c r="C186" s="189"/>
      <c r="D186" s="189"/>
      <c r="E186" s="190"/>
      <c r="F186" s="191"/>
      <c r="G186" s="190"/>
      <c r="H186" s="189"/>
      <c r="I186" s="191"/>
    </row>
    <row r="187" spans="1:13">
      <c r="A187" s="188"/>
      <c r="B187" s="80"/>
      <c r="C187" s="189"/>
      <c r="D187" s="189"/>
      <c r="E187" s="190"/>
      <c r="F187" s="191"/>
      <c r="G187" s="190"/>
      <c r="H187" s="189"/>
      <c r="I187" s="191"/>
    </row>
    <row r="188" spans="1:13">
      <c r="A188" s="188"/>
      <c r="B188" s="80"/>
      <c r="C188" s="189"/>
      <c r="D188" s="189"/>
      <c r="E188" s="190"/>
      <c r="F188" s="191"/>
      <c r="G188" s="190"/>
      <c r="H188" s="189"/>
      <c r="I188" s="191"/>
    </row>
    <row r="189" spans="1:13">
      <c r="A189" s="188"/>
      <c r="B189" s="80"/>
      <c r="C189" s="189"/>
      <c r="D189" s="189"/>
      <c r="E189" s="190"/>
      <c r="F189" s="191"/>
      <c r="G189" s="190"/>
      <c r="H189" s="189"/>
      <c r="I189" s="191"/>
    </row>
    <row r="190" spans="1:13">
      <c r="A190" s="188"/>
      <c r="B190" s="80"/>
      <c r="C190" s="189"/>
      <c r="D190" s="189"/>
      <c r="E190" s="190"/>
      <c r="F190" s="191"/>
      <c r="G190" s="190"/>
      <c r="H190" s="189"/>
      <c r="I190" s="191"/>
    </row>
    <row r="194" spans="1:9">
      <c r="A194" s="57"/>
      <c r="B194" s="57" t="s">
        <v>82</v>
      </c>
      <c r="C194" s="82"/>
      <c r="D194" s="82"/>
      <c r="E194" s="59">
        <f t="shared" si="13"/>
        <v>0</v>
      </c>
      <c r="F194" s="58">
        <v>133</v>
      </c>
      <c r="G194" s="59">
        <f t="shared" si="14"/>
        <v>532</v>
      </c>
      <c r="H194" s="82">
        <f t="shared" ref="H194:H198" si="71">(E194+G194)/12</f>
        <v>44.333333333333336</v>
      </c>
      <c r="I194" s="58">
        <f t="shared" si="15"/>
        <v>44</v>
      </c>
    </row>
    <row r="195" spans="1:9">
      <c r="A195" s="57"/>
      <c r="B195" s="57" t="s">
        <v>83</v>
      </c>
      <c r="C195" s="82"/>
      <c r="D195" s="59"/>
      <c r="E195" s="59">
        <f t="shared" si="13"/>
        <v>0</v>
      </c>
      <c r="F195" s="58">
        <v>102</v>
      </c>
      <c r="G195" s="59">
        <f t="shared" si="14"/>
        <v>408</v>
      </c>
      <c r="H195" s="82">
        <f t="shared" si="71"/>
        <v>34</v>
      </c>
      <c r="I195" s="58">
        <f t="shared" si="15"/>
        <v>34</v>
      </c>
    </row>
    <row r="196" spans="1:9">
      <c r="A196" s="57"/>
      <c r="B196" s="57" t="s">
        <v>84</v>
      </c>
      <c r="C196" s="82"/>
      <c r="D196" s="59"/>
      <c r="E196" s="59">
        <f t="shared" si="13"/>
        <v>0</v>
      </c>
      <c r="F196" s="58">
        <v>99</v>
      </c>
      <c r="G196" s="59">
        <f t="shared" si="14"/>
        <v>396</v>
      </c>
      <c r="H196" s="82">
        <f t="shared" si="71"/>
        <v>33</v>
      </c>
      <c r="I196" s="58">
        <f t="shared" si="15"/>
        <v>33</v>
      </c>
    </row>
    <row r="197" spans="1:9">
      <c r="A197" s="57"/>
      <c r="B197" s="57" t="s">
        <v>85</v>
      </c>
      <c r="C197" s="82"/>
      <c r="D197" s="59"/>
      <c r="E197" s="59">
        <f t="shared" si="13"/>
        <v>0</v>
      </c>
      <c r="F197" s="58">
        <v>148</v>
      </c>
      <c r="G197" s="59">
        <f t="shared" si="14"/>
        <v>592</v>
      </c>
      <c r="H197" s="82">
        <f t="shared" si="71"/>
        <v>49.333333333333336</v>
      </c>
      <c r="I197" s="58">
        <f t="shared" si="15"/>
        <v>49</v>
      </c>
    </row>
    <row r="198" spans="1:9">
      <c r="A198" s="57"/>
      <c r="B198" s="57" t="s">
        <v>86</v>
      </c>
      <c r="C198" s="82"/>
      <c r="D198" s="59"/>
      <c r="E198" s="59">
        <f t="shared" si="13"/>
        <v>0</v>
      </c>
      <c r="F198" s="58">
        <v>38</v>
      </c>
      <c r="G198" s="59">
        <f t="shared" si="14"/>
        <v>152</v>
      </c>
      <c r="H198" s="82">
        <f t="shared" si="71"/>
        <v>12.666666666666666</v>
      </c>
      <c r="I198" s="58">
        <f t="shared" si="15"/>
        <v>13</v>
      </c>
    </row>
    <row r="199" spans="1:9">
      <c r="A199" s="57"/>
      <c r="B199" s="57" t="s">
        <v>87</v>
      </c>
      <c r="C199" s="82"/>
      <c r="D199" s="59"/>
      <c r="E199" s="59">
        <f t="shared" si="13"/>
        <v>0</v>
      </c>
      <c r="F199" s="58">
        <v>710</v>
      </c>
      <c r="G199" s="59">
        <f t="shared" si="14"/>
        <v>2840</v>
      </c>
      <c r="H199" s="82">
        <v>710</v>
      </c>
      <c r="I199" s="58">
        <f t="shared" si="15"/>
        <v>710</v>
      </c>
    </row>
    <row r="200" spans="1:9">
      <c r="A200" s="57"/>
      <c r="B200" s="61" t="s">
        <v>88</v>
      </c>
      <c r="C200" s="82"/>
      <c r="D200" s="59"/>
      <c r="E200" s="59">
        <f t="shared" si="13"/>
        <v>0</v>
      </c>
      <c r="F200" s="58">
        <v>665</v>
      </c>
      <c r="G200" s="59">
        <f t="shared" si="14"/>
        <v>2660</v>
      </c>
      <c r="H200" s="82">
        <v>665</v>
      </c>
      <c r="I200" s="58">
        <f t="shared" si="15"/>
        <v>665</v>
      </c>
    </row>
    <row r="201" spans="1:9">
      <c r="A201" s="57"/>
      <c r="B201" s="57" t="s">
        <v>89</v>
      </c>
      <c r="C201" s="82"/>
      <c r="D201" s="59"/>
      <c r="E201" s="59">
        <f t="shared" si="13"/>
        <v>0</v>
      </c>
      <c r="F201" s="58">
        <v>535</v>
      </c>
      <c r="G201" s="59">
        <f t="shared" si="14"/>
        <v>2140</v>
      </c>
      <c r="H201" s="82">
        <v>535</v>
      </c>
      <c r="I201" s="58">
        <f t="shared" si="15"/>
        <v>535</v>
      </c>
    </row>
    <row r="202" spans="1:9">
      <c r="A202" s="57"/>
      <c r="B202" s="61" t="s">
        <v>90</v>
      </c>
      <c r="C202" s="82"/>
      <c r="D202" s="59"/>
      <c r="E202" s="59">
        <f t="shared" si="13"/>
        <v>0</v>
      </c>
      <c r="F202" s="58">
        <v>140</v>
      </c>
      <c r="G202" s="59">
        <f t="shared" si="14"/>
        <v>560</v>
      </c>
      <c r="H202" s="82">
        <v>140</v>
      </c>
      <c r="I202" s="58">
        <f t="shared" si="15"/>
        <v>140</v>
      </c>
    </row>
    <row r="203" spans="1:9">
      <c r="A203" s="57"/>
      <c r="B203" s="57"/>
      <c r="C203" s="58">
        <f>SUM(C40:C202)</f>
        <v>1077407</v>
      </c>
      <c r="D203" s="59">
        <f>SUM(D40:D202)</f>
        <v>11046</v>
      </c>
      <c r="E203" s="59">
        <f t="shared" ref="E203:H203" si="72">SUM(E40:E202)</f>
        <v>65736</v>
      </c>
      <c r="F203" s="58">
        <f t="shared" si="72"/>
        <v>14762</v>
      </c>
      <c r="G203" s="59">
        <f t="shared" si="72"/>
        <v>56636</v>
      </c>
      <c r="H203" s="82">
        <f t="shared" si="72"/>
        <v>761414.78971556807</v>
      </c>
      <c r="I203" s="58">
        <f t="shared" si="15"/>
        <v>761415</v>
      </c>
    </row>
    <row r="204" spans="1:9" ht="15.75">
      <c r="A204" s="57"/>
      <c r="B204" s="62" t="s">
        <v>91</v>
      </c>
      <c r="C204" s="63">
        <f>C40+C41+C42+C43+C44+C45+C46</f>
        <v>583</v>
      </c>
      <c r="D204" s="63">
        <f>D40+D41+D42+D43+D44+D45+D46</f>
        <v>579</v>
      </c>
      <c r="E204" s="63"/>
      <c r="F204" s="63">
        <f>F40+F41+F42+F43+F44+F45+F46</f>
        <v>562</v>
      </c>
      <c r="G204" s="64"/>
      <c r="H204" s="192">
        <f>H40+H41+H42+H43+H44+H45+H46</f>
        <v>574</v>
      </c>
      <c r="I204" s="63">
        <f>I40+I41+I42+I43+I44+I45+I46</f>
        <v>574</v>
      </c>
    </row>
    <row r="205" spans="1:9" ht="15.75">
      <c r="A205" s="57"/>
      <c r="B205" s="64" t="s">
        <v>92</v>
      </c>
      <c r="C205" s="63">
        <f>C210+C211+C212+C213+C194+C195+C196+C197+C198</f>
        <v>0</v>
      </c>
      <c r="D205" s="63">
        <f>D210+D211+D212+D213+D194+D195+D196+D197+D198</f>
        <v>0</v>
      </c>
      <c r="E205" s="63"/>
      <c r="F205" s="63">
        <f>F210+F211+F212+F213+F194+F195+F196+F197+F198</f>
        <v>637</v>
      </c>
      <c r="G205" s="64"/>
      <c r="H205" s="192">
        <f>H210+H211+H212+H213+H194+H195+H196+H197+H198</f>
        <v>212.33333333333334</v>
      </c>
      <c r="I205" s="63">
        <f>I210+I211+I212+I213+I194+I195+I196+I197+I198</f>
        <v>212</v>
      </c>
    </row>
    <row r="206" spans="1:9" ht="15.75">
      <c r="A206" s="57"/>
      <c r="B206" s="64" t="s">
        <v>93</v>
      </c>
      <c r="C206" s="63">
        <f>C205</f>
        <v>0</v>
      </c>
      <c r="D206" s="63">
        <f>D205</f>
        <v>0</v>
      </c>
      <c r="E206" s="63"/>
      <c r="F206" s="63">
        <f t="shared" ref="F206" si="73">F205</f>
        <v>637</v>
      </c>
      <c r="G206" s="64"/>
      <c r="H206" s="192">
        <f>H205</f>
        <v>212.33333333333334</v>
      </c>
      <c r="I206" s="63">
        <f>I205</f>
        <v>212</v>
      </c>
    </row>
    <row r="207" spans="1:9" ht="15.75">
      <c r="A207" s="57"/>
      <c r="B207" s="64" t="s">
        <v>94</v>
      </c>
      <c r="C207" s="63">
        <f>C199+C201</f>
        <v>0</v>
      </c>
      <c r="D207" s="63">
        <f>D199+D201</f>
        <v>0</v>
      </c>
      <c r="E207" s="63"/>
      <c r="F207" s="63">
        <f t="shared" ref="F207:F208" si="74">F199+F201</f>
        <v>1245</v>
      </c>
      <c r="G207" s="64"/>
      <c r="H207" s="192">
        <f>H199+H201</f>
        <v>1245</v>
      </c>
      <c r="I207" s="63">
        <f>I199+I201</f>
        <v>1245</v>
      </c>
    </row>
    <row r="208" spans="1:9" ht="15.75">
      <c r="A208" s="57"/>
      <c r="B208" s="64" t="s">
        <v>95</v>
      </c>
      <c r="C208" s="63">
        <f>C200+C202</f>
        <v>0</v>
      </c>
      <c r="D208" s="63">
        <f>D200+D202</f>
        <v>0</v>
      </c>
      <c r="E208" s="63"/>
      <c r="F208" s="63">
        <f t="shared" si="74"/>
        <v>805</v>
      </c>
      <c r="G208" s="64"/>
      <c r="H208" s="192">
        <f>H200+H202</f>
        <v>805</v>
      </c>
      <c r="I208" s="63">
        <f>I200+I202</f>
        <v>805</v>
      </c>
    </row>
    <row r="209" spans="1:9" ht="15.75">
      <c r="A209" s="57"/>
      <c r="B209" s="64" t="s">
        <v>27</v>
      </c>
      <c r="C209" s="64"/>
      <c r="D209" s="64"/>
      <c r="E209" s="64"/>
      <c r="F209" s="64"/>
      <c r="G209" s="64"/>
      <c r="H209" s="192">
        <f>SUM(H204:H208)</f>
        <v>3048.666666666667</v>
      </c>
      <c r="I209" s="65"/>
    </row>
    <row r="210" spans="1:9">
      <c r="A210" s="57"/>
      <c r="B210" s="193" t="s">
        <v>74</v>
      </c>
      <c r="C210" s="82"/>
      <c r="D210" s="82"/>
      <c r="E210" s="59">
        <f>D210*8</f>
        <v>0</v>
      </c>
      <c r="F210" s="58">
        <v>73</v>
      </c>
      <c r="G210" s="59">
        <f>F210*4</f>
        <v>292</v>
      </c>
      <c r="H210" s="82">
        <f>(E210+G210)/12</f>
        <v>24.333333333333332</v>
      </c>
      <c r="I210" s="58">
        <f>ROUND(H210,0)</f>
        <v>24</v>
      </c>
    </row>
    <row r="211" spans="1:9">
      <c r="A211" s="57"/>
      <c r="B211" s="57" t="s">
        <v>76</v>
      </c>
      <c r="C211" s="82"/>
      <c r="D211" s="82"/>
      <c r="E211" s="59">
        <f>D211*8</f>
        <v>0</v>
      </c>
      <c r="F211" s="58">
        <v>21</v>
      </c>
      <c r="G211" s="59">
        <f>F211*4</f>
        <v>84</v>
      </c>
      <c r="H211" s="82">
        <f>(E211+G211)/12</f>
        <v>7</v>
      </c>
      <c r="I211" s="58">
        <f>ROUND(H211,0)</f>
        <v>7</v>
      </c>
    </row>
    <row r="212" spans="1:9">
      <c r="A212" s="57"/>
      <c r="B212" s="57" t="s">
        <v>79</v>
      </c>
      <c r="C212" s="82"/>
      <c r="D212" s="82"/>
      <c r="E212" s="59">
        <f>D212*8</f>
        <v>0</v>
      </c>
      <c r="F212" s="58">
        <v>20</v>
      </c>
      <c r="G212" s="59">
        <f>F212*4</f>
        <v>80</v>
      </c>
      <c r="H212" s="82">
        <f>(E212+G212)/12</f>
        <v>6.666666666666667</v>
      </c>
      <c r="I212" s="58">
        <f>ROUND(H212,0)</f>
        <v>7</v>
      </c>
    </row>
    <row r="213" spans="1:9">
      <c r="A213" s="57"/>
      <c r="B213" s="57" t="s">
        <v>81</v>
      </c>
      <c r="C213" s="82"/>
      <c r="D213" s="82"/>
      <c r="E213" s="59">
        <f>D213*8</f>
        <v>0</v>
      </c>
      <c r="F213" s="58">
        <v>3</v>
      </c>
      <c r="G213" s="59">
        <f>F213*4</f>
        <v>12</v>
      </c>
      <c r="H213" s="82">
        <f>(E213+G213)/12</f>
        <v>1</v>
      </c>
      <c r="I213" s="58">
        <f>ROUND(H213,0)</f>
        <v>1</v>
      </c>
    </row>
  </sheetData>
  <autoFilter ref="A33:K182">
    <filterColumn colId="1">
      <filters>
        <filter val="ТСШ № 3"/>
      </filters>
    </filterColumn>
  </autoFilter>
  <mergeCells count="21">
    <mergeCell ref="A102:A108"/>
    <mergeCell ref="A34:A36"/>
    <mergeCell ref="A37:A39"/>
    <mergeCell ref="A40:A46"/>
    <mergeCell ref="A47:A53"/>
    <mergeCell ref="A54:A59"/>
    <mergeCell ref="A60:A66"/>
    <mergeCell ref="A67:A73"/>
    <mergeCell ref="A74:A80"/>
    <mergeCell ref="A81:A87"/>
    <mergeCell ref="A88:A94"/>
    <mergeCell ref="A95:A101"/>
    <mergeCell ref="A152:A153"/>
    <mergeCell ref="A154:A158"/>
    <mergeCell ref="A159:A163"/>
    <mergeCell ref="A109:A115"/>
    <mergeCell ref="A116:A122"/>
    <mergeCell ref="A124:A130"/>
    <mergeCell ref="A131:A137"/>
    <mergeCell ref="A138:A144"/>
    <mergeCell ref="A145:A151"/>
  </mergeCells>
  <pageMargins left="0.31496062992125984" right="0.31496062992125984" top="0.74803149606299213" bottom="0.74803149606299213" header="0" footer="0"/>
  <pageSetup paperSize="9" scale="70" orientation="landscape" horizontalDpi="180" verticalDpi="18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96"/>
  <sheetViews>
    <sheetView zoomScale="75" workbookViewId="0">
      <pane xSplit="4" ySplit="3" topLeftCell="E10" activePane="bottomRight" state="frozen"/>
      <selection activeCell="A13" sqref="A13:XFD13"/>
      <selection pane="topRight" activeCell="A13" sqref="A13:XFD13"/>
      <selection pane="bottomLeft" activeCell="A13" sqref="A13:XFD13"/>
      <selection pane="bottomRight" activeCell="E34" sqref="E34"/>
    </sheetView>
  </sheetViews>
  <sheetFormatPr defaultRowHeight="15"/>
  <cols>
    <col min="1" max="1" width="19.85546875" style="194" customWidth="1"/>
    <col min="2" max="2" width="7.5703125" style="194" customWidth="1"/>
    <col min="3" max="3" width="42.140625" style="194" customWidth="1"/>
    <col min="4" max="4" width="13.140625" style="194" customWidth="1"/>
    <col min="5" max="5" width="21.140625" style="194" customWidth="1"/>
    <col min="6" max="6" width="17.42578125" style="194" customWidth="1"/>
    <col min="7" max="9" width="19.140625" style="194" customWidth="1"/>
    <col min="10" max="10" width="15" style="194" customWidth="1"/>
    <col min="11" max="16384" width="9.140625" style="194"/>
  </cols>
  <sheetData>
    <row r="1" spans="1:10" ht="18" customHeight="1">
      <c r="A1" s="424" t="s">
        <v>161</v>
      </c>
      <c r="B1" s="424"/>
      <c r="C1" s="424"/>
      <c r="D1" s="424"/>
      <c r="E1" s="424"/>
      <c r="F1" s="424"/>
      <c r="G1" s="424"/>
    </row>
    <row r="2" spans="1:10" ht="18">
      <c r="A2" s="195"/>
      <c r="B2" s="195"/>
      <c r="C2" s="195"/>
      <c r="D2" s="195"/>
      <c r="E2" s="195"/>
      <c r="F2" s="195"/>
    </row>
    <row r="3" spans="1:10" ht="30.75" customHeight="1">
      <c r="A3" s="196" t="s">
        <v>162</v>
      </c>
      <c r="B3" s="196" t="s">
        <v>163</v>
      </c>
      <c r="C3" s="196" t="s">
        <v>164</v>
      </c>
      <c r="D3" s="196" t="s">
        <v>165</v>
      </c>
      <c r="E3" s="197" t="s">
        <v>166</v>
      </c>
      <c r="F3" s="197" t="s">
        <v>167</v>
      </c>
      <c r="G3" s="198" t="s">
        <v>168</v>
      </c>
      <c r="H3" s="198" t="s">
        <v>169</v>
      </c>
      <c r="I3" s="198" t="s">
        <v>170</v>
      </c>
      <c r="J3" s="196" t="s">
        <v>171</v>
      </c>
    </row>
    <row r="4" spans="1:10" ht="30.75" customHeight="1">
      <c r="A4" s="418" t="s">
        <v>172</v>
      </c>
      <c r="B4" s="199" t="s">
        <v>173</v>
      </c>
      <c r="C4" s="198" t="s">
        <v>174</v>
      </c>
      <c r="D4" s="196">
        <v>2008</v>
      </c>
      <c r="E4" s="196"/>
      <c r="F4" s="196"/>
      <c r="G4" s="200">
        <v>1</v>
      </c>
      <c r="H4" s="200"/>
      <c r="I4" s="200"/>
      <c r="J4" s="198">
        <v>2</v>
      </c>
    </row>
    <row r="5" spans="1:10" ht="13.5" customHeight="1">
      <c r="A5" s="419"/>
      <c r="B5" s="196" t="s">
        <v>175</v>
      </c>
      <c r="C5" s="198" t="s">
        <v>176</v>
      </c>
      <c r="D5" s="196">
        <v>2010</v>
      </c>
      <c r="E5" s="196"/>
      <c r="F5" s="196"/>
      <c r="G5" s="200">
        <v>1</v>
      </c>
      <c r="H5" s="200"/>
      <c r="I5" s="200"/>
      <c r="J5" s="198">
        <v>2</v>
      </c>
    </row>
    <row r="6" spans="1:10" ht="15.75" customHeight="1">
      <c r="A6" s="419"/>
      <c r="B6" s="196" t="s">
        <v>177</v>
      </c>
      <c r="C6" s="198" t="s">
        <v>178</v>
      </c>
      <c r="D6" s="196">
        <v>2009</v>
      </c>
      <c r="E6" s="196"/>
      <c r="F6" s="200"/>
      <c r="G6" s="200">
        <v>1</v>
      </c>
      <c r="H6" s="200"/>
      <c r="I6" s="200"/>
      <c r="J6" s="198">
        <v>2</v>
      </c>
    </row>
    <row r="7" spans="1:10" ht="18.75" customHeight="1">
      <c r="A7" s="419"/>
      <c r="B7" s="196" t="s">
        <v>177</v>
      </c>
      <c r="C7" s="198" t="s">
        <v>179</v>
      </c>
      <c r="D7" s="196">
        <v>2009</v>
      </c>
      <c r="E7" s="196"/>
      <c r="F7" s="200"/>
      <c r="G7" s="200">
        <v>1</v>
      </c>
      <c r="H7" s="200"/>
      <c r="I7" s="200"/>
      <c r="J7" s="198">
        <v>2</v>
      </c>
    </row>
    <row r="8" spans="1:10" ht="21" customHeight="1">
      <c r="A8" s="419"/>
      <c r="B8" s="196" t="s">
        <v>177</v>
      </c>
      <c r="C8" s="198" t="s">
        <v>180</v>
      </c>
      <c r="D8" s="196">
        <v>2008</v>
      </c>
      <c r="E8" s="201">
        <v>1</v>
      </c>
      <c r="F8" s="200"/>
      <c r="G8" s="200"/>
      <c r="H8" s="200"/>
      <c r="I8" s="200"/>
      <c r="J8" s="198">
        <v>8</v>
      </c>
    </row>
    <row r="9" spans="1:10" ht="18" customHeight="1">
      <c r="A9" s="419"/>
      <c r="B9" s="196" t="s">
        <v>181</v>
      </c>
      <c r="C9" s="198" t="s">
        <v>182</v>
      </c>
      <c r="D9" s="196">
        <v>2008</v>
      </c>
      <c r="E9" s="196"/>
      <c r="F9" s="200"/>
      <c r="G9" s="200"/>
      <c r="H9" s="200"/>
      <c r="I9" s="200"/>
      <c r="J9" s="198">
        <v>2</v>
      </c>
    </row>
    <row r="10" spans="1:10" s="204" customFormat="1">
      <c r="A10" s="419"/>
      <c r="B10" s="202" t="s">
        <v>183</v>
      </c>
      <c r="C10" s="203" t="s">
        <v>184</v>
      </c>
      <c r="D10" s="202">
        <v>2007</v>
      </c>
      <c r="E10" s="202">
        <v>1</v>
      </c>
      <c r="F10" s="202">
        <v>1</v>
      </c>
      <c r="G10" s="202"/>
      <c r="H10" s="202"/>
      <c r="I10" s="202"/>
      <c r="J10" s="203">
        <v>8</v>
      </c>
    </row>
    <row r="11" spans="1:10" s="204" customFormat="1">
      <c r="A11" s="419"/>
      <c r="B11" s="202" t="s">
        <v>185</v>
      </c>
      <c r="C11" s="203" t="s">
        <v>186</v>
      </c>
      <c r="D11" s="202">
        <v>2008</v>
      </c>
      <c r="E11" s="202"/>
      <c r="F11" s="202"/>
      <c r="G11" s="202">
        <v>1</v>
      </c>
      <c r="H11" s="202"/>
      <c r="I11" s="202"/>
      <c r="J11" s="203">
        <v>2</v>
      </c>
    </row>
    <row r="12" spans="1:10" s="204" customFormat="1" ht="15" customHeight="1">
      <c r="A12" s="419"/>
      <c r="B12" s="202" t="s">
        <v>185</v>
      </c>
      <c r="C12" s="203" t="s">
        <v>187</v>
      </c>
      <c r="D12" s="202">
        <v>2008</v>
      </c>
      <c r="E12" s="202"/>
      <c r="F12" s="202"/>
      <c r="G12" s="202">
        <v>1</v>
      </c>
      <c r="H12" s="202"/>
      <c r="I12" s="202"/>
      <c r="J12" s="203">
        <v>2</v>
      </c>
    </row>
    <row r="13" spans="1:10" s="204" customFormat="1">
      <c r="A13" s="419"/>
      <c r="B13" s="202" t="s">
        <v>185</v>
      </c>
      <c r="C13" s="203" t="s">
        <v>188</v>
      </c>
      <c r="D13" s="202">
        <v>2008</v>
      </c>
      <c r="E13" s="202"/>
      <c r="F13" s="202"/>
      <c r="G13" s="202">
        <v>1</v>
      </c>
      <c r="H13" s="202"/>
      <c r="I13" s="202"/>
      <c r="J13" s="203">
        <v>2</v>
      </c>
    </row>
    <row r="14" spans="1:10" s="204" customFormat="1">
      <c r="A14" s="419"/>
      <c r="B14" s="202" t="s">
        <v>189</v>
      </c>
      <c r="C14" s="203" t="s">
        <v>190</v>
      </c>
      <c r="D14" s="202">
        <v>2008</v>
      </c>
      <c r="E14" s="202"/>
      <c r="F14" s="202"/>
      <c r="G14" s="202">
        <v>1</v>
      </c>
      <c r="H14" s="202"/>
      <c r="I14" s="202"/>
      <c r="J14" s="203">
        <v>2</v>
      </c>
    </row>
    <row r="15" spans="1:10" s="204" customFormat="1">
      <c r="A15" s="419"/>
      <c r="B15" s="200" t="s">
        <v>191</v>
      </c>
      <c r="C15" s="198" t="s">
        <v>192</v>
      </c>
      <c r="D15" s="200">
        <v>2007</v>
      </c>
      <c r="E15" s="200"/>
      <c r="F15" s="200"/>
      <c r="G15" s="200"/>
      <c r="H15" s="200">
        <v>1</v>
      </c>
      <c r="I15" s="200"/>
      <c r="J15" s="198">
        <v>9.75</v>
      </c>
    </row>
    <row r="16" spans="1:10" s="204" customFormat="1">
      <c r="A16" s="419"/>
      <c r="B16" s="200" t="s">
        <v>193</v>
      </c>
      <c r="C16" s="198" t="s">
        <v>194</v>
      </c>
      <c r="D16" s="200">
        <v>2007</v>
      </c>
      <c r="E16" s="200"/>
      <c r="F16" s="200"/>
      <c r="G16" s="200">
        <v>1</v>
      </c>
      <c r="H16" s="200"/>
      <c r="I16" s="200"/>
      <c r="J16" s="198">
        <v>2</v>
      </c>
    </row>
    <row r="17" spans="1:10" s="204" customFormat="1">
      <c r="A17" s="419"/>
      <c r="B17" s="200" t="s">
        <v>193</v>
      </c>
      <c r="C17" s="198" t="s">
        <v>195</v>
      </c>
      <c r="D17" s="200">
        <v>2007</v>
      </c>
      <c r="E17" s="200"/>
      <c r="F17" s="200"/>
      <c r="G17" s="200">
        <v>1</v>
      </c>
      <c r="H17" s="200"/>
      <c r="I17" s="200"/>
      <c r="J17" s="198">
        <v>2</v>
      </c>
    </row>
    <row r="18" spans="1:10" s="204" customFormat="1">
      <c r="A18" s="419"/>
      <c r="B18" s="200" t="s">
        <v>193</v>
      </c>
      <c r="C18" s="198" t="s">
        <v>196</v>
      </c>
      <c r="D18" s="200">
        <v>2006</v>
      </c>
      <c r="E18" s="200">
        <v>1</v>
      </c>
      <c r="F18" s="200"/>
      <c r="G18" s="200"/>
      <c r="H18" s="200"/>
      <c r="I18" s="200"/>
      <c r="J18" s="198">
        <v>8</v>
      </c>
    </row>
    <row r="19" spans="1:10" s="204" customFormat="1">
      <c r="A19" s="419"/>
      <c r="B19" s="200" t="s">
        <v>197</v>
      </c>
      <c r="C19" s="198" t="s">
        <v>198</v>
      </c>
      <c r="D19" s="200">
        <v>2004</v>
      </c>
      <c r="E19" s="200">
        <v>1</v>
      </c>
      <c r="F19" s="200">
        <v>1</v>
      </c>
      <c r="G19" s="200"/>
      <c r="H19" s="200"/>
      <c r="I19" s="200"/>
      <c r="J19" s="198">
        <v>8</v>
      </c>
    </row>
    <row r="20" spans="1:10" s="204" customFormat="1">
      <c r="A20" s="419"/>
      <c r="B20" s="200" t="s">
        <v>199</v>
      </c>
      <c r="C20" s="198" t="s">
        <v>200</v>
      </c>
      <c r="D20" s="200">
        <v>2006</v>
      </c>
      <c r="E20" s="200"/>
      <c r="F20" s="200"/>
      <c r="G20" s="200">
        <v>1</v>
      </c>
      <c r="H20" s="200"/>
      <c r="I20" s="200"/>
      <c r="J20" s="198">
        <v>9.75</v>
      </c>
    </row>
    <row r="21" spans="1:10" s="204" customFormat="1">
      <c r="A21" s="419"/>
      <c r="B21" s="200" t="s">
        <v>201</v>
      </c>
      <c r="C21" s="198" t="s">
        <v>202</v>
      </c>
      <c r="D21" s="200">
        <v>2003</v>
      </c>
      <c r="E21" s="200">
        <v>1</v>
      </c>
      <c r="F21" s="200">
        <v>1</v>
      </c>
      <c r="G21" s="200"/>
      <c r="H21" s="200"/>
      <c r="I21" s="200"/>
      <c r="J21" s="198">
        <v>10</v>
      </c>
    </row>
    <row r="22" spans="1:10" s="204" customFormat="1">
      <c r="A22" s="419"/>
      <c r="B22" s="200" t="s">
        <v>203</v>
      </c>
      <c r="C22" s="198" t="s">
        <v>204</v>
      </c>
      <c r="D22" s="200">
        <v>2005</v>
      </c>
      <c r="E22" s="200"/>
      <c r="F22" s="200"/>
      <c r="G22" s="200"/>
      <c r="H22" s="200">
        <v>1</v>
      </c>
      <c r="I22" s="200"/>
      <c r="J22" s="198">
        <v>14.8</v>
      </c>
    </row>
    <row r="23" spans="1:10" s="204" customFormat="1">
      <c r="A23" s="419"/>
      <c r="B23" s="200" t="s">
        <v>205</v>
      </c>
      <c r="C23" s="198" t="s">
        <v>206</v>
      </c>
      <c r="D23" s="200">
        <v>2004</v>
      </c>
      <c r="E23" s="200"/>
      <c r="F23" s="200"/>
      <c r="G23" s="200"/>
      <c r="H23" s="200">
        <v>1</v>
      </c>
      <c r="I23" s="200"/>
      <c r="J23" s="198">
        <v>14.8</v>
      </c>
    </row>
    <row r="24" spans="1:10" s="204" customFormat="1">
      <c r="A24" s="419"/>
      <c r="B24" s="200" t="s">
        <v>205</v>
      </c>
      <c r="C24" s="198" t="s">
        <v>207</v>
      </c>
      <c r="D24" s="200">
        <v>2003</v>
      </c>
      <c r="E24" s="200"/>
      <c r="F24" s="200"/>
      <c r="G24" s="200"/>
      <c r="H24" s="200">
        <v>1</v>
      </c>
      <c r="I24" s="200"/>
      <c r="J24" s="198">
        <v>14.8</v>
      </c>
    </row>
    <row r="25" spans="1:10" s="204" customFormat="1" ht="15.75">
      <c r="A25" s="419"/>
      <c r="B25" s="200" t="s">
        <v>205</v>
      </c>
      <c r="C25" s="198" t="s">
        <v>208</v>
      </c>
      <c r="D25" s="200">
        <v>2003</v>
      </c>
      <c r="E25" s="205"/>
      <c r="F25" s="200"/>
      <c r="G25" s="200"/>
      <c r="H25" s="200">
        <v>1</v>
      </c>
      <c r="I25" s="200"/>
      <c r="J25" s="198">
        <v>14.8</v>
      </c>
    </row>
    <row r="26" spans="1:10" s="204" customFormat="1">
      <c r="A26" s="419"/>
      <c r="B26" s="200" t="s">
        <v>209</v>
      </c>
      <c r="C26" s="198" t="s">
        <v>210</v>
      </c>
      <c r="D26" s="200">
        <v>2004</v>
      </c>
      <c r="E26" s="200">
        <v>1</v>
      </c>
      <c r="F26" s="200"/>
      <c r="G26" s="200"/>
      <c r="H26" s="200"/>
      <c r="I26" s="200"/>
      <c r="J26" s="198">
        <v>10</v>
      </c>
    </row>
    <row r="27" spans="1:10" s="204" customFormat="1">
      <c r="A27" s="419"/>
      <c r="B27" s="200" t="s">
        <v>209</v>
      </c>
      <c r="C27" s="198" t="s">
        <v>211</v>
      </c>
      <c r="D27" s="200">
        <v>2003</v>
      </c>
      <c r="E27" s="200"/>
      <c r="F27" s="200"/>
      <c r="G27" s="200"/>
      <c r="H27" s="200"/>
      <c r="I27" s="200">
        <v>1</v>
      </c>
      <c r="J27" s="198">
        <v>6.8</v>
      </c>
    </row>
    <row r="28" spans="1:10" s="204" customFormat="1">
      <c r="A28" s="419"/>
      <c r="B28" s="200" t="s">
        <v>212</v>
      </c>
      <c r="C28" s="198" t="s">
        <v>213</v>
      </c>
      <c r="D28" s="200">
        <v>2002</v>
      </c>
      <c r="E28" s="200"/>
      <c r="F28" s="200"/>
      <c r="G28" s="206"/>
      <c r="H28" s="200">
        <v>1</v>
      </c>
      <c r="I28" s="200"/>
      <c r="J28" s="198">
        <v>14.8</v>
      </c>
    </row>
    <row r="29" spans="1:10" s="204" customFormat="1">
      <c r="A29" s="419"/>
      <c r="B29" s="200" t="s">
        <v>214</v>
      </c>
      <c r="C29" s="198" t="s">
        <v>215</v>
      </c>
      <c r="D29" s="200">
        <v>2002</v>
      </c>
      <c r="E29" s="200"/>
      <c r="F29" s="200"/>
      <c r="G29" s="200"/>
      <c r="H29" s="200">
        <v>1</v>
      </c>
      <c r="I29" s="200"/>
      <c r="J29" s="198">
        <v>14.8</v>
      </c>
    </row>
    <row r="30" spans="1:10" s="204" customFormat="1" ht="33.75" customHeight="1">
      <c r="A30" s="419"/>
      <c r="B30" s="200" t="s">
        <v>216</v>
      </c>
      <c r="C30" s="198" t="s">
        <v>217</v>
      </c>
      <c r="D30" s="200">
        <v>2001</v>
      </c>
      <c r="E30" s="200"/>
      <c r="F30" s="200"/>
      <c r="G30" s="206"/>
      <c r="H30" s="200">
        <v>1</v>
      </c>
      <c r="I30" s="200"/>
      <c r="J30" s="198">
        <v>14.8</v>
      </c>
    </row>
    <row r="31" spans="1:10" s="204" customFormat="1">
      <c r="A31" s="419"/>
      <c r="B31" s="200" t="s">
        <v>216</v>
      </c>
      <c r="C31" s="198" t="s">
        <v>218</v>
      </c>
      <c r="D31" s="200">
        <v>2001</v>
      </c>
      <c r="E31" s="200"/>
      <c r="F31" s="200"/>
      <c r="G31" s="206"/>
      <c r="H31" s="200"/>
      <c r="I31" s="200">
        <v>1</v>
      </c>
      <c r="J31" s="198">
        <v>6.8</v>
      </c>
    </row>
    <row r="32" spans="1:10" s="204" customFormat="1">
      <c r="A32" s="419"/>
      <c r="B32" s="200"/>
      <c r="C32" s="198"/>
      <c r="D32" s="200"/>
      <c r="E32" s="200"/>
      <c r="F32" s="200"/>
      <c r="G32" s="200"/>
      <c r="H32" s="200"/>
      <c r="I32" s="200"/>
      <c r="J32" s="198"/>
    </row>
    <row r="33" spans="1:11" s="209" customFormat="1" ht="15.75">
      <c r="A33" s="416" t="s">
        <v>27</v>
      </c>
      <c r="B33" s="417"/>
      <c r="C33" s="207"/>
      <c r="D33" s="207"/>
      <c r="E33" s="207">
        <f>SUM(E4:E32)</f>
        <v>6</v>
      </c>
      <c r="F33" s="207">
        <f>SUM(F10:F32)</f>
        <v>3</v>
      </c>
      <c r="G33" s="207">
        <f>SUM(G10:G32)</f>
        <v>7</v>
      </c>
      <c r="H33" s="207">
        <f>SUM(H10:H32)</f>
        <v>8</v>
      </c>
      <c r="I33" s="207">
        <f>SUM(I10:I32)</f>
        <v>2</v>
      </c>
      <c r="J33" s="207">
        <f>SUM(J4:J31)</f>
        <v>210.70000000000005</v>
      </c>
      <c r="K33" s="208"/>
    </row>
    <row r="34" spans="1:11" s="204" customFormat="1">
      <c r="A34" s="422" t="s">
        <v>219</v>
      </c>
      <c r="B34" s="200" t="s">
        <v>173</v>
      </c>
      <c r="C34" s="198" t="s">
        <v>220</v>
      </c>
      <c r="D34" s="200">
        <v>2009</v>
      </c>
      <c r="E34" s="200">
        <v>1</v>
      </c>
      <c r="F34" s="200">
        <v>1</v>
      </c>
      <c r="G34" s="200"/>
      <c r="H34" s="200"/>
      <c r="I34" s="200"/>
      <c r="J34" s="198">
        <v>8</v>
      </c>
    </row>
    <row r="35" spans="1:11" s="204" customFormat="1">
      <c r="A35" s="422"/>
      <c r="B35" s="200" t="s">
        <v>173</v>
      </c>
      <c r="C35" s="198" t="s">
        <v>221</v>
      </c>
      <c r="D35" s="200">
        <v>2008</v>
      </c>
      <c r="E35" s="200"/>
      <c r="F35" s="200"/>
      <c r="G35" s="200">
        <v>1</v>
      </c>
      <c r="H35" s="200"/>
      <c r="I35" s="200"/>
      <c r="J35" s="198">
        <v>2</v>
      </c>
    </row>
    <row r="36" spans="1:11" s="204" customFormat="1">
      <c r="A36" s="422"/>
      <c r="B36" s="200" t="s">
        <v>173</v>
      </c>
      <c r="C36" s="198" t="s">
        <v>222</v>
      </c>
      <c r="D36" s="200">
        <v>2008</v>
      </c>
      <c r="E36" s="200"/>
      <c r="F36" s="200"/>
      <c r="G36" s="200">
        <v>1</v>
      </c>
      <c r="H36" s="200"/>
      <c r="I36" s="200"/>
      <c r="J36" s="198">
        <v>2</v>
      </c>
    </row>
    <row r="37" spans="1:11" s="204" customFormat="1">
      <c r="A37" s="422"/>
      <c r="B37" s="200" t="s">
        <v>173</v>
      </c>
      <c r="C37" s="198" t="s">
        <v>223</v>
      </c>
      <c r="D37" s="200">
        <v>2008</v>
      </c>
      <c r="E37" s="200"/>
      <c r="F37" s="200"/>
      <c r="G37" s="200"/>
      <c r="H37" s="200">
        <v>1</v>
      </c>
      <c r="I37" s="200"/>
      <c r="J37" s="198">
        <v>9.75</v>
      </c>
    </row>
    <row r="38" spans="1:11" s="204" customFormat="1">
      <c r="A38" s="422"/>
      <c r="B38" s="200" t="s">
        <v>173</v>
      </c>
      <c r="C38" s="198" t="s">
        <v>224</v>
      </c>
      <c r="D38" s="200">
        <v>2008</v>
      </c>
      <c r="E38" s="200"/>
      <c r="F38" s="200"/>
      <c r="G38" s="200"/>
      <c r="H38" s="200">
        <v>1</v>
      </c>
      <c r="I38" s="200"/>
      <c r="J38" s="198">
        <v>9.75</v>
      </c>
    </row>
    <row r="39" spans="1:11" s="204" customFormat="1">
      <c r="A39" s="422"/>
      <c r="B39" s="200" t="s">
        <v>225</v>
      </c>
      <c r="C39" s="198" t="s">
        <v>226</v>
      </c>
      <c r="D39" s="200">
        <v>2008</v>
      </c>
      <c r="E39" s="200"/>
      <c r="F39" s="200"/>
      <c r="G39" s="200">
        <v>1</v>
      </c>
      <c r="H39" s="200"/>
      <c r="I39" s="200"/>
      <c r="J39" s="198">
        <v>2</v>
      </c>
    </row>
    <row r="40" spans="1:11" s="204" customFormat="1">
      <c r="A40" s="422"/>
      <c r="B40" s="200" t="s">
        <v>225</v>
      </c>
      <c r="C40" s="198" t="s">
        <v>227</v>
      </c>
      <c r="D40" s="200">
        <v>2009</v>
      </c>
      <c r="E40" s="200"/>
      <c r="F40" s="200"/>
      <c r="G40" s="200">
        <v>1</v>
      </c>
      <c r="H40" s="200"/>
      <c r="I40" s="200"/>
      <c r="J40" s="198">
        <v>2</v>
      </c>
    </row>
    <row r="41" spans="1:11" s="204" customFormat="1">
      <c r="A41" s="422"/>
      <c r="B41" s="200" t="s">
        <v>225</v>
      </c>
      <c r="C41" s="198" t="s">
        <v>228</v>
      </c>
      <c r="D41" s="200">
        <v>2009</v>
      </c>
      <c r="E41" s="200"/>
      <c r="F41" s="200"/>
      <c r="G41" s="200">
        <v>1</v>
      </c>
      <c r="H41" s="200"/>
      <c r="I41" s="200"/>
      <c r="J41" s="198">
        <v>2</v>
      </c>
    </row>
    <row r="42" spans="1:11" s="204" customFormat="1">
      <c r="A42" s="422"/>
      <c r="B42" s="200" t="s">
        <v>229</v>
      </c>
      <c r="C42" s="198" t="s">
        <v>230</v>
      </c>
      <c r="D42" s="200">
        <v>2008</v>
      </c>
      <c r="E42" s="200"/>
      <c r="F42" s="200"/>
      <c r="G42" s="200">
        <v>1</v>
      </c>
      <c r="H42" s="200"/>
      <c r="I42" s="200"/>
      <c r="J42" s="198">
        <v>2</v>
      </c>
    </row>
    <row r="43" spans="1:11" s="204" customFormat="1">
      <c r="A43" s="422"/>
      <c r="B43" s="200" t="s">
        <v>181</v>
      </c>
      <c r="C43" s="198" t="s">
        <v>231</v>
      </c>
      <c r="D43" s="200">
        <v>2008</v>
      </c>
      <c r="E43" s="200"/>
      <c r="F43" s="200"/>
      <c r="G43" s="200">
        <v>1</v>
      </c>
      <c r="H43" s="200"/>
      <c r="I43" s="200"/>
      <c r="J43" s="198">
        <v>2</v>
      </c>
    </row>
    <row r="44" spans="1:11" s="204" customFormat="1">
      <c r="A44" s="422"/>
      <c r="B44" s="200" t="s">
        <v>183</v>
      </c>
      <c r="C44" s="198" t="s">
        <v>232</v>
      </c>
      <c r="D44" s="200">
        <v>2008</v>
      </c>
      <c r="E44" s="200"/>
      <c r="F44" s="200"/>
      <c r="G44" s="200">
        <v>1</v>
      </c>
      <c r="H44" s="200"/>
      <c r="I44" s="200"/>
      <c r="J44" s="198">
        <v>2</v>
      </c>
    </row>
    <row r="45" spans="1:11" s="204" customFormat="1">
      <c r="A45" s="422"/>
      <c r="B45" s="200" t="s">
        <v>233</v>
      </c>
      <c r="C45" s="198" t="s">
        <v>234</v>
      </c>
      <c r="D45" s="200">
        <v>2008</v>
      </c>
      <c r="E45" s="200"/>
      <c r="F45" s="200"/>
      <c r="G45" s="200">
        <v>1</v>
      </c>
      <c r="H45" s="200"/>
      <c r="I45" s="200"/>
      <c r="J45" s="198">
        <v>2</v>
      </c>
    </row>
    <row r="46" spans="1:11" s="204" customFormat="1">
      <c r="A46" s="422"/>
      <c r="B46" s="200" t="s">
        <v>233</v>
      </c>
      <c r="C46" s="198" t="s">
        <v>235</v>
      </c>
      <c r="D46" s="200">
        <v>2008</v>
      </c>
      <c r="E46" s="200"/>
      <c r="F46" s="200"/>
      <c r="G46" s="200">
        <v>1</v>
      </c>
      <c r="H46" s="200"/>
      <c r="I46" s="200"/>
      <c r="J46" s="198">
        <v>2</v>
      </c>
    </row>
    <row r="47" spans="1:11" s="204" customFormat="1">
      <c r="A47" s="422"/>
      <c r="B47" s="200" t="s">
        <v>233</v>
      </c>
      <c r="C47" s="198" t="s">
        <v>236</v>
      </c>
      <c r="D47" s="200">
        <v>2008</v>
      </c>
      <c r="E47" s="200"/>
      <c r="F47" s="200"/>
      <c r="G47" s="200">
        <v>1</v>
      </c>
      <c r="H47" s="200"/>
      <c r="I47" s="200"/>
      <c r="J47" s="198">
        <v>2</v>
      </c>
    </row>
    <row r="48" spans="1:11" s="204" customFormat="1">
      <c r="A48" s="422"/>
      <c r="B48" s="200" t="s">
        <v>183</v>
      </c>
      <c r="C48" s="198" t="s">
        <v>237</v>
      </c>
      <c r="D48" s="200">
        <v>2008</v>
      </c>
      <c r="E48" s="200"/>
      <c r="F48" s="200"/>
      <c r="G48" s="200">
        <v>1</v>
      </c>
      <c r="H48" s="200"/>
      <c r="I48" s="200"/>
      <c r="J48" s="198">
        <v>2</v>
      </c>
    </row>
    <row r="49" spans="1:10" s="204" customFormat="1">
      <c r="A49" s="422"/>
      <c r="B49" s="200" t="s">
        <v>183</v>
      </c>
      <c r="C49" s="198" t="s">
        <v>238</v>
      </c>
      <c r="D49" s="200">
        <v>2004</v>
      </c>
      <c r="E49" s="200">
        <v>1</v>
      </c>
      <c r="F49" s="200">
        <v>1</v>
      </c>
      <c r="G49" s="200"/>
      <c r="H49" s="200"/>
      <c r="I49" s="200"/>
      <c r="J49" s="198">
        <v>8</v>
      </c>
    </row>
    <row r="50" spans="1:10" s="204" customFormat="1">
      <c r="A50" s="422"/>
      <c r="B50" s="200" t="s">
        <v>189</v>
      </c>
      <c r="C50" s="198" t="s">
        <v>239</v>
      </c>
      <c r="D50" s="200">
        <v>2007</v>
      </c>
      <c r="E50" s="200"/>
      <c r="F50" s="200"/>
      <c r="G50" s="200">
        <v>1</v>
      </c>
      <c r="H50" s="200"/>
      <c r="I50" s="200"/>
      <c r="J50" s="198">
        <v>2</v>
      </c>
    </row>
    <row r="51" spans="1:10" s="204" customFormat="1" ht="15.75" customHeight="1">
      <c r="A51" s="422"/>
      <c r="B51" s="200" t="s">
        <v>240</v>
      </c>
      <c r="C51" s="198" t="s">
        <v>241</v>
      </c>
      <c r="D51" s="200">
        <v>2007</v>
      </c>
      <c r="E51" s="200"/>
      <c r="F51" s="200"/>
      <c r="G51" s="200">
        <v>1</v>
      </c>
      <c r="H51" s="200"/>
      <c r="I51" s="200"/>
      <c r="J51" s="198">
        <v>2</v>
      </c>
    </row>
    <row r="52" spans="1:10" s="204" customFormat="1">
      <c r="A52" s="422"/>
      <c r="B52" s="200" t="s">
        <v>240</v>
      </c>
      <c r="C52" s="198" t="s">
        <v>242</v>
      </c>
      <c r="D52" s="200">
        <v>2007</v>
      </c>
      <c r="E52" s="200"/>
      <c r="F52" s="200"/>
      <c r="G52" s="200">
        <v>1</v>
      </c>
      <c r="H52" s="200"/>
      <c r="I52" s="200"/>
      <c r="J52" s="198">
        <v>2</v>
      </c>
    </row>
    <row r="53" spans="1:10" s="204" customFormat="1">
      <c r="A53" s="422"/>
      <c r="B53" s="200" t="s">
        <v>191</v>
      </c>
      <c r="C53" s="198" t="s">
        <v>243</v>
      </c>
      <c r="D53" s="200">
        <v>2007</v>
      </c>
      <c r="E53" s="200"/>
      <c r="F53" s="200"/>
      <c r="G53" s="200">
        <v>1</v>
      </c>
      <c r="H53" s="200"/>
      <c r="I53" s="200"/>
      <c r="J53" s="198">
        <v>2</v>
      </c>
    </row>
    <row r="54" spans="1:10" s="204" customFormat="1">
      <c r="A54" s="422"/>
      <c r="B54" s="200" t="s">
        <v>191</v>
      </c>
      <c r="C54" s="198" t="s">
        <v>244</v>
      </c>
      <c r="D54" s="200">
        <v>2006</v>
      </c>
      <c r="E54" s="200"/>
      <c r="F54" s="200"/>
      <c r="G54" s="200"/>
      <c r="H54" s="200">
        <v>1</v>
      </c>
      <c r="I54" s="200"/>
      <c r="J54" s="198">
        <v>9.75</v>
      </c>
    </row>
    <row r="55" spans="1:10" s="204" customFormat="1" ht="15.75" customHeight="1">
      <c r="A55" s="422"/>
      <c r="B55" s="200" t="s">
        <v>245</v>
      </c>
      <c r="C55" s="198" t="s">
        <v>246</v>
      </c>
      <c r="D55" s="200">
        <v>2006</v>
      </c>
      <c r="E55" s="200"/>
      <c r="F55" s="200"/>
      <c r="G55" s="200"/>
      <c r="H55" s="200">
        <v>1</v>
      </c>
      <c r="I55" s="200"/>
      <c r="J55" s="198">
        <v>9.75</v>
      </c>
    </row>
    <row r="56" spans="1:10" s="204" customFormat="1">
      <c r="A56" s="422"/>
      <c r="B56" s="200" t="s">
        <v>197</v>
      </c>
      <c r="C56" s="198" t="s">
        <v>247</v>
      </c>
      <c r="D56" s="200">
        <v>2005</v>
      </c>
      <c r="E56" s="200"/>
      <c r="F56" s="200"/>
      <c r="G56" s="200">
        <v>1</v>
      </c>
      <c r="H56" s="200"/>
      <c r="I56" s="200"/>
      <c r="J56" s="198">
        <v>2</v>
      </c>
    </row>
    <row r="57" spans="1:10" s="204" customFormat="1">
      <c r="A57" s="422"/>
      <c r="B57" s="200" t="s">
        <v>248</v>
      </c>
      <c r="C57" s="198" t="s">
        <v>249</v>
      </c>
      <c r="D57" s="200">
        <v>2004</v>
      </c>
      <c r="E57" s="200"/>
      <c r="F57" s="200"/>
      <c r="G57" s="200"/>
      <c r="H57" s="200">
        <v>1</v>
      </c>
      <c r="I57" s="200"/>
      <c r="J57" s="198">
        <v>14.8</v>
      </c>
    </row>
    <row r="58" spans="1:10" s="204" customFormat="1">
      <c r="A58" s="422"/>
      <c r="B58" s="200" t="s">
        <v>201</v>
      </c>
      <c r="C58" s="198" t="s">
        <v>250</v>
      </c>
      <c r="D58" s="200">
        <v>2005</v>
      </c>
      <c r="E58" s="200"/>
      <c r="F58" s="200"/>
      <c r="G58" s="200"/>
      <c r="H58" s="200">
        <v>1</v>
      </c>
      <c r="I58" s="200"/>
      <c r="J58" s="198">
        <v>14.8</v>
      </c>
    </row>
    <row r="59" spans="1:10" s="209" customFormat="1" ht="15.75">
      <c r="A59" s="416" t="s">
        <v>27</v>
      </c>
      <c r="B59" s="417"/>
      <c r="C59" s="207"/>
      <c r="D59" s="207"/>
      <c r="E59" s="207">
        <f t="shared" ref="E59:J59" si="0">SUM(E34:E58)</f>
        <v>2</v>
      </c>
      <c r="F59" s="207">
        <f t="shared" si="0"/>
        <v>2</v>
      </c>
      <c r="G59" s="207">
        <f t="shared" si="0"/>
        <v>17</v>
      </c>
      <c r="H59" s="207">
        <f t="shared" si="0"/>
        <v>6</v>
      </c>
      <c r="I59" s="207">
        <f t="shared" si="0"/>
        <v>0</v>
      </c>
      <c r="J59" s="207">
        <f t="shared" si="0"/>
        <v>118.6</v>
      </c>
    </row>
    <row r="60" spans="1:10">
      <c r="A60" s="425" t="s">
        <v>60</v>
      </c>
      <c r="B60" s="196" t="s">
        <v>183</v>
      </c>
      <c r="C60" s="198" t="s">
        <v>251</v>
      </c>
      <c r="D60" s="196">
        <v>2007</v>
      </c>
      <c r="E60" s="196"/>
      <c r="F60" s="210"/>
      <c r="G60" s="196">
        <v>1</v>
      </c>
      <c r="H60" s="196"/>
      <c r="I60" s="196"/>
      <c r="J60" s="198">
        <v>2</v>
      </c>
    </row>
    <row r="61" spans="1:10">
      <c r="A61" s="426"/>
      <c r="B61" s="196" t="s">
        <v>183</v>
      </c>
      <c r="C61" s="198" t="s">
        <v>252</v>
      </c>
      <c r="D61" s="196">
        <v>2008</v>
      </c>
      <c r="E61" s="196"/>
      <c r="F61" s="196"/>
      <c r="G61" s="196">
        <v>1</v>
      </c>
      <c r="H61" s="196"/>
      <c r="I61" s="196"/>
      <c r="J61" s="198">
        <v>2</v>
      </c>
    </row>
    <row r="62" spans="1:10">
      <c r="A62" s="426"/>
      <c r="B62" s="211">
        <v>3</v>
      </c>
      <c r="C62" s="198" t="s">
        <v>253</v>
      </c>
      <c r="D62" s="196">
        <v>2007</v>
      </c>
      <c r="E62" s="196"/>
      <c r="F62" s="196"/>
      <c r="G62" s="196">
        <v>1</v>
      </c>
      <c r="H62" s="196"/>
      <c r="I62" s="196"/>
      <c r="J62" s="198">
        <v>2</v>
      </c>
    </row>
    <row r="63" spans="1:10">
      <c r="A63" s="426"/>
      <c r="B63" s="211">
        <v>3</v>
      </c>
      <c r="C63" s="198" t="s">
        <v>254</v>
      </c>
      <c r="D63" s="196">
        <v>2007</v>
      </c>
      <c r="E63" s="196"/>
      <c r="F63" s="196"/>
      <c r="G63" s="196">
        <v>1</v>
      </c>
      <c r="H63" s="196"/>
      <c r="I63" s="196"/>
      <c r="J63" s="198">
        <v>2</v>
      </c>
    </row>
    <row r="64" spans="1:10">
      <c r="A64" s="427"/>
      <c r="B64" s="211">
        <v>5</v>
      </c>
      <c r="C64" s="198" t="s">
        <v>255</v>
      </c>
      <c r="D64" s="196">
        <v>2006</v>
      </c>
      <c r="E64" s="196"/>
      <c r="F64" s="196"/>
      <c r="G64" s="196"/>
      <c r="H64" s="196">
        <v>1</v>
      </c>
      <c r="I64" s="196"/>
      <c r="J64" s="198">
        <v>14.8</v>
      </c>
    </row>
    <row r="65" spans="1:11" s="209" customFormat="1" ht="18.75" customHeight="1">
      <c r="A65" s="416" t="s">
        <v>27</v>
      </c>
      <c r="B65" s="417"/>
      <c r="C65" s="207"/>
      <c r="D65" s="207"/>
      <c r="E65" s="207">
        <f t="shared" ref="E65:J65" si="1">SUM(E60:E64)</f>
        <v>0</v>
      </c>
      <c r="F65" s="207">
        <f t="shared" si="1"/>
        <v>0</v>
      </c>
      <c r="G65" s="207">
        <f t="shared" si="1"/>
        <v>4</v>
      </c>
      <c r="H65" s="207">
        <f t="shared" si="1"/>
        <v>1</v>
      </c>
      <c r="I65" s="207">
        <f t="shared" si="1"/>
        <v>0</v>
      </c>
      <c r="J65" s="207">
        <f t="shared" si="1"/>
        <v>22.8</v>
      </c>
    </row>
    <row r="66" spans="1:11">
      <c r="A66" s="425" t="s">
        <v>256</v>
      </c>
      <c r="B66" s="211">
        <v>2</v>
      </c>
      <c r="C66" s="198" t="s">
        <v>257</v>
      </c>
      <c r="D66" s="196">
        <v>2009</v>
      </c>
      <c r="E66" s="196"/>
      <c r="F66" s="196"/>
      <c r="G66" s="196">
        <v>1</v>
      </c>
      <c r="H66" s="196"/>
      <c r="I66" s="196"/>
      <c r="J66" s="198"/>
    </row>
    <row r="67" spans="1:11">
      <c r="A67" s="426"/>
      <c r="B67" s="211">
        <v>2</v>
      </c>
      <c r="C67" s="198" t="s">
        <v>258</v>
      </c>
      <c r="D67" s="196">
        <v>2008</v>
      </c>
      <c r="E67" s="196"/>
      <c r="F67" s="196"/>
      <c r="G67" s="196"/>
      <c r="H67" s="196">
        <v>1</v>
      </c>
      <c r="I67" s="196"/>
      <c r="J67" s="198"/>
    </row>
    <row r="68" spans="1:11" ht="15.75">
      <c r="A68" s="416" t="s">
        <v>27</v>
      </c>
      <c r="B68" s="417"/>
      <c r="C68" s="207"/>
      <c r="D68" s="207"/>
      <c r="E68" s="207">
        <f t="shared" ref="E68:J68" si="2">SUM(E66:E67)</f>
        <v>0</v>
      </c>
      <c r="F68" s="207">
        <f t="shared" si="2"/>
        <v>0</v>
      </c>
      <c r="G68" s="207">
        <f t="shared" si="2"/>
        <v>1</v>
      </c>
      <c r="H68" s="207">
        <f t="shared" si="2"/>
        <v>1</v>
      </c>
      <c r="I68" s="207">
        <f t="shared" si="2"/>
        <v>0</v>
      </c>
      <c r="J68" s="207">
        <f t="shared" si="2"/>
        <v>0</v>
      </c>
    </row>
    <row r="69" spans="1:11" s="213" customFormat="1" ht="18">
      <c r="A69" s="212" t="s">
        <v>259</v>
      </c>
      <c r="B69" s="212"/>
      <c r="C69" s="212"/>
      <c r="D69" s="212"/>
      <c r="E69" s="212">
        <f>E33+E59+E65+E68</f>
        <v>8</v>
      </c>
      <c r="F69" s="212">
        <f>F33+F59+F65+F68</f>
        <v>5</v>
      </c>
      <c r="G69" s="212">
        <f>G33+G59+G65+G68</f>
        <v>29</v>
      </c>
      <c r="H69" s="212">
        <f>H33+H59+H65+H68</f>
        <v>16</v>
      </c>
      <c r="I69" s="212">
        <f>I33+I59+I65+I68</f>
        <v>2</v>
      </c>
      <c r="J69" s="212">
        <f>J33+J59+J68</f>
        <v>329.30000000000007</v>
      </c>
    </row>
    <row r="72" spans="1:11" ht="18" customHeight="1">
      <c r="A72" s="428" t="s">
        <v>260</v>
      </c>
      <c r="B72" s="429"/>
      <c r="C72" s="429"/>
      <c r="D72" s="429"/>
      <c r="E72" s="429"/>
      <c r="F72" s="429"/>
      <c r="G72" s="429"/>
      <c r="H72" s="429"/>
    </row>
    <row r="74" spans="1:11" ht="30.75" customHeight="1">
      <c r="A74" s="214" t="s">
        <v>162</v>
      </c>
      <c r="B74" s="214" t="s">
        <v>163</v>
      </c>
      <c r="C74" s="214" t="s">
        <v>164</v>
      </c>
      <c r="D74" s="215" t="s">
        <v>165</v>
      </c>
      <c r="E74" s="216"/>
      <c r="F74" s="216"/>
      <c r="G74" s="216"/>
      <c r="H74" s="216"/>
      <c r="I74" s="216"/>
      <c r="J74" s="216"/>
    </row>
    <row r="75" spans="1:11" s="204" customFormat="1">
      <c r="A75" s="418" t="s">
        <v>172</v>
      </c>
      <c r="B75" s="217"/>
      <c r="C75" s="200"/>
      <c r="D75" s="206"/>
      <c r="E75" s="216"/>
      <c r="F75" s="216"/>
      <c r="G75" s="216"/>
      <c r="H75" s="216"/>
      <c r="I75" s="216"/>
      <c r="J75" s="216"/>
    </row>
    <row r="76" spans="1:11" s="204" customFormat="1">
      <c r="A76" s="420"/>
      <c r="B76" s="217"/>
      <c r="C76" s="200"/>
      <c r="D76" s="206"/>
      <c r="E76" s="216"/>
      <c r="F76" s="216"/>
      <c r="G76" s="216"/>
      <c r="H76" s="216"/>
      <c r="I76" s="216"/>
      <c r="J76" s="216"/>
    </row>
    <row r="77" spans="1:11" s="204" customFormat="1">
      <c r="A77" s="430"/>
      <c r="B77" s="217"/>
      <c r="C77" s="200"/>
      <c r="D77" s="206"/>
      <c r="E77" s="216"/>
      <c r="F77" s="216"/>
      <c r="G77" s="216"/>
      <c r="H77" s="216"/>
      <c r="I77" s="216"/>
      <c r="J77" s="216"/>
    </row>
    <row r="78" spans="1:11" s="209" customFormat="1" ht="15.75">
      <c r="A78" s="416" t="s">
        <v>27</v>
      </c>
      <c r="B78" s="417"/>
      <c r="C78" s="207"/>
      <c r="D78" s="218"/>
      <c r="E78" s="219"/>
      <c r="F78" s="219"/>
      <c r="G78" s="219"/>
      <c r="H78" s="219"/>
      <c r="I78" s="219"/>
      <c r="J78" s="219"/>
      <c r="K78" s="208"/>
    </row>
    <row r="79" spans="1:11" s="204" customFormat="1">
      <c r="A79" s="418" t="s">
        <v>261</v>
      </c>
      <c r="B79" s="217"/>
      <c r="C79" s="200"/>
      <c r="D79" s="206"/>
      <c r="E79" s="216"/>
      <c r="F79" s="216"/>
      <c r="G79" s="216"/>
      <c r="H79" s="216"/>
      <c r="I79" s="216"/>
      <c r="J79" s="216"/>
    </row>
    <row r="80" spans="1:11" s="204" customFormat="1">
      <c r="A80" s="419"/>
      <c r="B80" s="217"/>
      <c r="C80" s="200"/>
      <c r="D80" s="206"/>
      <c r="E80" s="216"/>
      <c r="F80" s="216"/>
      <c r="G80" s="216"/>
      <c r="H80" s="216"/>
      <c r="I80" s="216"/>
      <c r="J80" s="216"/>
    </row>
    <row r="81" spans="1:11" s="204" customFormat="1">
      <c r="A81" s="419"/>
      <c r="B81" s="217"/>
      <c r="C81" s="200"/>
      <c r="D81" s="206"/>
      <c r="E81" s="216"/>
      <c r="F81" s="216"/>
      <c r="G81" s="216"/>
      <c r="H81" s="216"/>
      <c r="I81" s="216"/>
      <c r="J81" s="216"/>
    </row>
    <row r="82" spans="1:11" s="204" customFormat="1">
      <c r="A82" s="419"/>
      <c r="B82" s="217"/>
      <c r="C82" s="200"/>
      <c r="D82" s="206"/>
      <c r="E82" s="216"/>
      <c r="F82" s="216"/>
      <c r="G82" s="216"/>
      <c r="H82" s="216"/>
      <c r="I82" s="216"/>
      <c r="J82" s="216"/>
    </row>
    <row r="83" spans="1:11" s="204" customFormat="1">
      <c r="A83" s="419"/>
      <c r="B83" s="217"/>
      <c r="C83" s="200"/>
      <c r="D83" s="206"/>
      <c r="E83" s="216"/>
      <c r="F83" s="216"/>
      <c r="G83" s="216"/>
      <c r="H83" s="216"/>
      <c r="I83" s="216"/>
      <c r="J83" s="216"/>
    </row>
    <row r="84" spans="1:11" s="204" customFormat="1">
      <c r="A84" s="420"/>
      <c r="B84" s="217"/>
      <c r="C84" s="200"/>
      <c r="D84" s="206"/>
      <c r="E84" s="216"/>
      <c r="F84" s="216"/>
      <c r="G84" s="216"/>
      <c r="H84" s="216"/>
      <c r="I84" s="216"/>
      <c r="J84" s="216"/>
    </row>
    <row r="85" spans="1:11" s="209" customFormat="1" ht="15.75">
      <c r="A85" s="416" t="s">
        <v>27</v>
      </c>
      <c r="B85" s="417"/>
      <c r="C85" s="207"/>
      <c r="D85" s="218"/>
      <c r="E85" s="219"/>
      <c r="F85" s="219"/>
      <c r="G85" s="219"/>
      <c r="H85" s="219"/>
      <c r="I85" s="219"/>
      <c r="J85" s="219"/>
      <c r="K85" s="208"/>
    </row>
    <row r="86" spans="1:11" s="204" customFormat="1">
      <c r="A86" s="418" t="s">
        <v>60</v>
      </c>
      <c r="B86" s="217"/>
      <c r="C86" s="200"/>
      <c r="D86" s="206"/>
      <c r="E86" s="216"/>
      <c r="F86" s="216"/>
      <c r="G86" s="216"/>
      <c r="H86" s="216"/>
      <c r="I86" s="216"/>
      <c r="J86" s="216"/>
    </row>
    <row r="87" spans="1:11" s="204" customFormat="1">
      <c r="A87" s="419"/>
      <c r="B87" s="217"/>
      <c r="C87" s="200"/>
      <c r="D87" s="206"/>
      <c r="E87" s="216"/>
      <c r="F87" s="216"/>
      <c r="G87" s="216"/>
      <c r="H87" s="216"/>
      <c r="I87" s="216"/>
      <c r="J87" s="216"/>
    </row>
    <row r="88" spans="1:11" s="204" customFormat="1">
      <c r="A88" s="419"/>
      <c r="B88" s="217"/>
      <c r="C88" s="200"/>
      <c r="D88" s="206"/>
      <c r="E88" s="216"/>
      <c r="F88" s="216"/>
      <c r="G88" s="216"/>
      <c r="H88" s="216"/>
      <c r="I88" s="216"/>
      <c r="J88" s="216"/>
    </row>
    <row r="89" spans="1:11" s="209" customFormat="1" ht="15.75">
      <c r="A89" s="416" t="s">
        <v>27</v>
      </c>
      <c r="B89" s="417"/>
      <c r="C89" s="207"/>
      <c r="D89" s="218"/>
      <c r="E89" s="219"/>
      <c r="F89" s="219"/>
      <c r="G89" s="219"/>
      <c r="H89" s="219"/>
      <c r="I89" s="219"/>
      <c r="J89" s="219"/>
      <c r="K89" s="208"/>
    </row>
    <row r="90" spans="1:11" s="204" customFormat="1">
      <c r="A90" s="421" t="s">
        <v>262</v>
      </c>
      <c r="B90" s="196">
        <v>1</v>
      </c>
      <c r="C90" s="196" t="s">
        <v>263</v>
      </c>
      <c r="D90" s="196">
        <v>2009</v>
      </c>
      <c r="E90" s="216"/>
      <c r="F90" s="216"/>
      <c r="G90" s="216"/>
      <c r="H90" s="216"/>
      <c r="I90" s="216"/>
      <c r="J90" s="216"/>
    </row>
    <row r="91" spans="1:11" s="204" customFormat="1">
      <c r="A91" s="422"/>
      <c r="B91" s="196">
        <v>6</v>
      </c>
      <c r="C91" s="196" t="s">
        <v>264</v>
      </c>
      <c r="D91" s="196">
        <v>2004</v>
      </c>
      <c r="E91" s="216"/>
      <c r="F91" s="216"/>
      <c r="G91" s="216"/>
      <c r="H91" s="216"/>
      <c r="I91" s="216"/>
      <c r="J91" s="216"/>
    </row>
    <row r="92" spans="1:11" s="204" customFormat="1">
      <c r="A92" s="422"/>
      <c r="B92" s="196">
        <v>10</v>
      </c>
      <c r="C92" s="196" t="s">
        <v>265</v>
      </c>
      <c r="D92" s="196">
        <v>2000</v>
      </c>
      <c r="E92" s="216"/>
      <c r="F92" s="216"/>
      <c r="G92" s="216"/>
      <c r="H92" s="216"/>
      <c r="I92" s="216"/>
      <c r="J92" s="216"/>
    </row>
    <row r="93" spans="1:11" s="204" customFormat="1">
      <c r="A93" s="423"/>
      <c r="B93" s="196">
        <v>10</v>
      </c>
      <c r="C93" s="196" t="s">
        <v>266</v>
      </c>
      <c r="D93" s="196">
        <v>2001</v>
      </c>
      <c r="E93" s="216"/>
      <c r="F93" s="216"/>
      <c r="G93" s="216"/>
      <c r="H93" s="216"/>
      <c r="I93" s="216"/>
      <c r="J93" s="216"/>
    </row>
    <row r="94" spans="1:11" s="209" customFormat="1" ht="15.75">
      <c r="A94" s="416" t="s">
        <v>27</v>
      </c>
      <c r="B94" s="417"/>
      <c r="C94" s="207"/>
      <c r="D94" s="218"/>
      <c r="E94" s="219"/>
      <c r="F94" s="219"/>
      <c r="G94" s="219"/>
      <c r="H94" s="219"/>
      <c r="I94" s="219"/>
      <c r="J94" s="219"/>
      <c r="K94" s="208"/>
    </row>
    <row r="95" spans="1:11" s="204" customFormat="1">
      <c r="A95" s="220" t="s">
        <v>267</v>
      </c>
      <c r="B95" s="217"/>
      <c r="C95" s="200"/>
      <c r="D95" s="206"/>
      <c r="E95" s="216"/>
      <c r="F95" s="216"/>
      <c r="G95" s="216"/>
      <c r="H95" s="216"/>
      <c r="I95" s="216"/>
      <c r="J95" s="216"/>
    </row>
    <row r="96" spans="1:11" s="209" customFormat="1" ht="15.75">
      <c r="A96" s="416" t="s">
        <v>27</v>
      </c>
      <c r="B96" s="417"/>
      <c r="C96" s="207"/>
      <c r="D96" s="218"/>
      <c r="E96" s="219"/>
      <c r="F96" s="219"/>
      <c r="G96" s="219"/>
      <c r="H96" s="219"/>
      <c r="I96" s="219"/>
      <c r="J96" s="219"/>
      <c r="K96" s="208"/>
    </row>
  </sheetData>
  <autoFilter ref="A3:J69"/>
  <mergeCells count="19">
    <mergeCell ref="A78:B78"/>
    <mergeCell ref="A1:G1"/>
    <mergeCell ref="A4:A32"/>
    <mergeCell ref="A33:B33"/>
    <mergeCell ref="A34:A58"/>
    <mergeCell ref="A59:B59"/>
    <mergeCell ref="A60:A64"/>
    <mergeCell ref="A65:B65"/>
    <mergeCell ref="A66:A67"/>
    <mergeCell ref="A68:B68"/>
    <mergeCell ref="A72:H72"/>
    <mergeCell ref="A75:A77"/>
    <mergeCell ref="A96:B96"/>
    <mergeCell ref="A79:A84"/>
    <mergeCell ref="A85:B85"/>
    <mergeCell ref="A86:A88"/>
    <mergeCell ref="A89:B89"/>
    <mergeCell ref="A90:A93"/>
    <mergeCell ref="A94:B94"/>
  </mergeCells>
  <pageMargins left="0.78740157480314965" right="0.59055118110236227" top="0.39370078740157483" bottom="0.19685039370078741" header="0" footer="0"/>
  <pageSetup paperSize="9" scale="3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ИТОГО БНЗ доу</vt:lpstr>
      <vt:lpstr>ИТОГО БНЗ шк</vt:lpstr>
      <vt:lpstr>ИТОГО БНЗ допы</vt:lpstr>
      <vt:lpstr>получатели</vt:lpstr>
      <vt:lpstr>индивид обуч 16-17</vt:lpstr>
      <vt:lpstr>'ИТОГО БНЗ допы'!Область_печати</vt:lpstr>
      <vt:lpstr>'ИТОГО БНЗ доу'!Область_печати</vt:lpstr>
      <vt:lpstr>'ИТОГО БНЗ шк'!Область_печати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ЕФАНОВ АЛЕКСАНДР АЛЕКСАНДРОВИЧ</dc:creator>
  <cp:lastModifiedBy>RYO-3-4</cp:lastModifiedBy>
  <cp:lastPrinted>2020-06-30T09:18:23Z</cp:lastPrinted>
  <dcterms:created xsi:type="dcterms:W3CDTF">2015-01-28T06:12:04Z</dcterms:created>
  <dcterms:modified xsi:type="dcterms:W3CDTF">2020-12-21T10:08:11Z</dcterms:modified>
</cp:coreProperties>
</file>